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8957E46B-26FE-4A4A-A670-51D9F9AA9FD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A!$A$1:$N$88</definedName>
    <definedName name="_xlnm.Print_Area">A!$A$1:$N$57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76" i="1" l="1"/>
  <c r="N75" i="1" l="1"/>
  <c r="N77" i="1"/>
  <c r="N78" i="1"/>
  <c r="N79" i="1"/>
  <c r="N80" i="1"/>
  <c r="N81" i="1"/>
  <c r="N82" i="1"/>
  <c r="N74" i="1" l="1"/>
  <c r="N73" i="1" l="1"/>
  <c r="N72" i="1" l="1"/>
  <c r="N71" i="1" l="1"/>
  <c r="N70" i="1" l="1"/>
  <c r="N69" i="1" l="1"/>
  <c r="N68" i="1" l="1"/>
  <c r="N67" i="1" l="1"/>
  <c r="N66" i="1"/>
  <c r="N65" i="1"/>
  <c r="N64" i="1"/>
  <c r="N63" i="1"/>
  <c r="N62" i="1"/>
  <c r="N61" i="1"/>
  <c r="N60" i="1"/>
  <c r="N59" i="1"/>
  <c r="N58" i="1"/>
  <c r="H57" i="1"/>
  <c r="I57" i="1"/>
  <c r="N6" i="1"/>
  <c r="N7" i="1"/>
  <c r="N8" i="1"/>
  <c r="N9" i="1"/>
  <c r="N10" i="1"/>
  <c r="N11" i="1"/>
  <c r="N12" i="1"/>
  <c r="F13" i="1"/>
  <c r="G13" i="1"/>
  <c r="H13" i="1"/>
  <c r="I13" i="1"/>
  <c r="J13" i="1"/>
  <c r="F14" i="1"/>
  <c r="G14" i="1"/>
  <c r="H14" i="1"/>
  <c r="I14" i="1"/>
  <c r="J14" i="1"/>
  <c r="F15" i="1"/>
  <c r="G15" i="1"/>
  <c r="H15" i="1"/>
  <c r="I15" i="1"/>
  <c r="J15" i="1"/>
  <c r="F16" i="1"/>
  <c r="G16" i="1"/>
  <c r="H16" i="1"/>
  <c r="I16" i="1"/>
  <c r="J16" i="1"/>
  <c r="E17" i="1"/>
  <c r="F17" i="1"/>
  <c r="G17" i="1"/>
  <c r="H17" i="1"/>
  <c r="J17" i="1"/>
  <c r="E18" i="1"/>
  <c r="F18" i="1"/>
  <c r="G18" i="1"/>
  <c r="H18" i="1"/>
  <c r="I18" i="1"/>
  <c r="J18" i="1"/>
  <c r="F19" i="1"/>
  <c r="G19" i="1"/>
  <c r="H19" i="1"/>
  <c r="I19" i="1"/>
  <c r="J19" i="1"/>
  <c r="N19" i="1" s="1"/>
  <c r="F20" i="1"/>
  <c r="G20" i="1"/>
  <c r="H20" i="1"/>
  <c r="I20" i="1"/>
  <c r="J20" i="1"/>
  <c r="K20" i="1"/>
  <c r="E21" i="1"/>
  <c r="F21" i="1"/>
  <c r="H21" i="1"/>
  <c r="I21" i="1"/>
  <c r="J21" i="1"/>
  <c r="F22" i="1"/>
  <c r="G22" i="1"/>
  <c r="H22" i="1"/>
  <c r="I22" i="1"/>
  <c r="J22" i="1"/>
  <c r="F23" i="1"/>
  <c r="G23" i="1"/>
  <c r="H23" i="1"/>
  <c r="I23" i="1"/>
  <c r="F24" i="1"/>
  <c r="G24" i="1"/>
  <c r="H24" i="1"/>
  <c r="I24" i="1"/>
  <c r="J24" i="1"/>
  <c r="F25" i="1"/>
  <c r="G25" i="1"/>
  <c r="H25" i="1"/>
  <c r="I25" i="1"/>
  <c r="J25" i="1"/>
  <c r="E26" i="1"/>
  <c r="F26" i="1"/>
  <c r="G26" i="1"/>
  <c r="H26" i="1"/>
  <c r="I26" i="1"/>
  <c r="J26" i="1"/>
  <c r="F27" i="1"/>
  <c r="G27" i="1"/>
  <c r="H27" i="1"/>
  <c r="I27" i="1"/>
  <c r="J27" i="1"/>
  <c r="F28" i="1"/>
  <c r="G28" i="1"/>
  <c r="H28" i="1"/>
  <c r="I28" i="1"/>
  <c r="J28" i="1"/>
  <c r="F29" i="1"/>
  <c r="G29" i="1"/>
  <c r="H29" i="1"/>
  <c r="I29" i="1"/>
  <c r="J29" i="1"/>
  <c r="G30" i="1"/>
  <c r="H30" i="1"/>
  <c r="I30" i="1"/>
  <c r="J30" i="1"/>
  <c r="G31" i="1"/>
  <c r="H31" i="1"/>
  <c r="I31" i="1"/>
  <c r="G32" i="1"/>
  <c r="I32" i="1"/>
  <c r="J32" i="1"/>
  <c r="H33" i="1"/>
  <c r="I33" i="1"/>
  <c r="G34" i="1"/>
  <c r="H34" i="1"/>
  <c r="I34" i="1"/>
  <c r="J34" i="1"/>
  <c r="G35" i="1"/>
  <c r="H35" i="1"/>
  <c r="I35" i="1"/>
  <c r="H36" i="1"/>
  <c r="I36" i="1"/>
  <c r="J36" i="1"/>
  <c r="G37" i="1"/>
  <c r="H37" i="1"/>
  <c r="I37" i="1"/>
  <c r="J37" i="1"/>
  <c r="G38" i="1"/>
  <c r="H38" i="1"/>
  <c r="I38" i="1"/>
  <c r="J38" i="1"/>
  <c r="G39" i="1"/>
  <c r="H39" i="1"/>
  <c r="I39" i="1"/>
  <c r="J39" i="1"/>
  <c r="G40" i="1"/>
  <c r="H40" i="1"/>
  <c r="I40" i="1"/>
  <c r="J40" i="1"/>
  <c r="G41" i="1"/>
  <c r="H41" i="1"/>
  <c r="I41" i="1"/>
  <c r="G42" i="1"/>
  <c r="H42" i="1"/>
  <c r="I42" i="1"/>
  <c r="J42" i="1"/>
  <c r="G43" i="1"/>
  <c r="H43" i="1"/>
  <c r="I43" i="1"/>
  <c r="J43" i="1"/>
  <c r="G44" i="1"/>
  <c r="H44" i="1"/>
  <c r="I44" i="1"/>
  <c r="J44" i="1"/>
  <c r="N45" i="1"/>
  <c r="G46" i="1"/>
  <c r="H46" i="1"/>
  <c r="I46" i="1"/>
  <c r="J46" i="1"/>
  <c r="H47" i="1"/>
  <c r="I47" i="1"/>
  <c r="G48" i="1"/>
  <c r="H48" i="1"/>
  <c r="I48" i="1"/>
  <c r="J48" i="1"/>
  <c r="N49" i="1"/>
  <c r="N50" i="1"/>
  <c r="N51" i="1"/>
  <c r="N52" i="1"/>
  <c r="N53" i="1"/>
  <c r="N54" i="1"/>
  <c r="N55" i="1"/>
  <c r="N56" i="1"/>
  <c r="N29" i="1" l="1"/>
  <c r="N44" i="1"/>
  <c r="N23" i="1"/>
  <c r="N47" i="1"/>
  <c r="N40" i="1"/>
  <c r="N38" i="1"/>
  <c r="N33" i="1"/>
  <c r="N30" i="1"/>
  <c r="N21" i="1"/>
  <c r="N42" i="1"/>
  <c r="N27" i="1"/>
  <c r="N24" i="1"/>
  <c r="N15" i="1"/>
  <c r="N39" i="1"/>
  <c r="N35" i="1"/>
  <c r="N32" i="1"/>
  <c r="N22" i="1"/>
  <c r="N13" i="1"/>
  <c r="N41" i="1"/>
  <c r="N46" i="1"/>
  <c r="N37" i="1"/>
  <c r="N34" i="1"/>
  <c r="N28" i="1"/>
  <c r="N25" i="1"/>
  <c r="N16" i="1"/>
  <c r="N57" i="1"/>
  <c r="N43" i="1"/>
  <c r="N26" i="1"/>
  <c r="N48" i="1"/>
  <c r="N36" i="1"/>
  <c r="N31" i="1"/>
  <c r="N20" i="1"/>
  <c r="N18" i="1"/>
  <c r="N17" i="1"/>
  <c r="N14" i="1"/>
</calcChain>
</file>

<file path=xl/sharedStrings.xml><?xml version="1.0" encoding="utf-8"?>
<sst xmlns="http://schemas.openxmlformats.org/spreadsheetml/2006/main" count="18" uniqueCount="18">
  <si>
    <t>YEAR</t>
  </si>
  <si>
    <t>JAN</t>
  </si>
  <si>
    <t>FEB</t>
  </si>
  <si>
    <t>MAR</t>
  </si>
  <si>
    <t>APR</t>
  </si>
  <si>
    <t xml:space="preserve">     MAY</t>
  </si>
  <si>
    <t xml:space="preserve">     JUN</t>
  </si>
  <si>
    <t xml:space="preserve">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</si>
  <si>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</si>
  <si>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</si>
  <si>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</si>
  <si>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</si>
  <si>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</si>
  <si>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TOTAL</t>
  </si>
  <si>
    <t>HARLAN COUNTY DAM</t>
  </si>
  <si>
    <t>OUTFLOW IN ACRE-FEET</t>
  </si>
  <si>
    <t>DATA FROM C.O.E. RECORDS</t>
  </si>
  <si>
    <t>HC-OUTF.XLSX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</si>
</sst>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1" fontId="1" fillId="0" borderId="0" xfId="0" applyNumberFormat="1" applyFont="1"/>
    <xf numFmtId="0" fontId="1" fillId="0" borderId="0" xfId="0" applyNumberFormat="1" applyFont="1"/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/>
    <xf numFmtId="3" fontId="1" fillId="0" borderId="0" xfId="0" applyNumberFormat="1" applyFont="1" applyBorder="1" applyAlignment="1"/>
    <xf numFmtId="3" fontId="1" fillId="0" borderId="0" xfId="0" applyNumberFormat="1" applyFont="1" applyBorder="1"/>
    <xf numFmtId="1" fontId="1" fillId="0" borderId="0" xfId="0" applyNumberFormat="1" applyFont="1" applyBorder="1"/>
    <xf numFmtId="3" fontId="2" fillId="0" borderId="1" xfId="0" applyNumberFormat="1" applyFont="1" applyBorder="1" applyAlignment="1">
      <alignment horizontal="right"/>
    </xf>
    <xf numFmtId="3" fontId="4" fillId="0" borderId="0" xfId="0" quotePrefix="1" applyNumberFormat="1" applyFont="1" applyBorder="1" applyAlignment="1">
      <alignment horizontal="left"/>
    </xf>
    <xf numFmtId="1" fontId="1" fillId="0" borderId="0" xfId="0" applyNumberFormat="1" applyFont="1" applyAlignment="1"/>
    <xf numFmtId="0" fontId="1" fillId="0" borderId="0" xfId="0" applyNumberFormat="1" applyFont="1" applyAlignment="1"/>
    <xf numFmtId="3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82"/>
  <sheetViews>
    <sheetView tabSelected="1" showOutlineSymbols="0" zoomScaleNormal="100" workbookViewId="0">
      <pane ySplit="5" topLeftCell="A60" activePane="bottomLeft" state="frozen"/>
      <selection pane="bottomLeft" activeCell="L78" sqref="L78"/>
    </sheetView>
  </sheetViews>
  <sheetFormatPr defaultColWidth="9.77734375" defaultRowHeight="15"/>
  <cols>
    <col min="1" max="1" width="5.77734375" style="1" customWidth="1"/>
    <col min="2" max="14" width="10.77734375" style="1" customWidth="1"/>
    <col min="15" max="16384" width="9.77734375" style="1"/>
  </cols>
  <sheetData>
    <row r="1" spans="1:35">
      <c r="A1" s="1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35">
      <c r="A2" s="14" t="s">
        <v>14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2"/>
    </row>
    <row r="3" spans="1:35">
      <c r="A3" s="14" t="s">
        <v>15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2"/>
    </row>
    <row r="4" spans="1:35" ht="15.75">
      <c r="A4" s="11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8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</row>
    <row r="5" spans="1:35" ht="15.75" thickBot="1">
      <c r="A5" s="10" t="s">
        <v>0</v>
      </c>
      <c r="B5" s="10" t="s">
        <v>1</v>
      </c>
      <c r="C5" s="10" t="s">
        <v>2</v>
      </c>
      <c r="D5" s="10" t="s">
        <v>3</v>
      </c>
      <c r="E5" s="10" t="s">
        <v>4</v>
      </c>
      <c r="F5" s="10" t="s">
        <v>5</v>
      </c>
      <c r="G5" s="10" t="s">
        <v>6</v>
      </c>
      <c r="H5" s="10" t="s">
        <v>7</v>
      </c>
      <c r="I5" s="10" t="s">
        <v>8</v>
      </c>
      <c r="J5" s="10" t="s">
        <v>9</v>
      </c>
      <c r="K5" s="10" t="s">
        <v>10</v>
      </c>
      <c r="L5" s="10" t="s">
        <v>11</v>
      </c>
      <c r="M5" s="10" t="s">
        <v>12</v>
      </c>
      <c r="N5" s="10" t="s">
        <v>13</v>
      </c>
      <c r="O5" s="8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</row>
    <row r="6" spans="1:35" ht="15.75" thickTop="1">
      <c r="A6" s="9">
        <v>1952</v>
      </c>
      <c r="B6" s="8"/>
      <c r="C6" s="8"/>
      <c r="D6" s="8"/>
      <c r="E6" s="8"/>
      <c r="F6" s="8"/>
      <c r="G6" s="8"/>
      <c r="H6" s="8"/>
      <c r="I6" s="8"/>
      <c r="J6" s="8"/>
      <c r="K6" s="8"/>
      <c r="L6" s="8">
        <v>1795</v>
      </c>
      <c r="M6" s="8">
        <v>4126</v>
      </c>
      <c r="N6" s="8">
        <f t="shared" ref="N6:N48" si="0">SUM(B6:M6)</f>
        <v>5921</v>
      </c>
      <c r="O6" s="8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>
      <c r="A7" s="3">
        <v>1953</v>
      </c>
      <c r="B7" s="2">
        <v>15491</v>
      </c>
      <c r="C7" s="2">
        <v>26678</v>
      </c>
      <c r="D7" s="2">
        <v>2144</v>
      </c>
      <c r="E7" s="2">
        <v>1785</v>
      </c>
      <c r="F7" s="2">
        <v>1864</v>
      </c>
      <c r="G7" s="2">
        <v>2876</v>
      </c>
      <c r="H7" s="2">
        <v>11851</v>
      </c>
      <c r="I7" s="2">
        <v>10741</v>
      </c>
      <c r="J7" s="2">
        <v>5590</v>
      </c>
      <c r="K7" s="2">
        <v>1365</v>
      </c>
      <c r="L7" s="2">
        <v>417</v>
      </c>
      <c r="M7" s="2">
        <v>422</v>
      </c>
      <c r="N7" s="2">
        <f t="shared" si="0"/>
        <v>81224</v>
      </c>
      <c r="O7" s="2"/>
    </row>
    <row r="8" spans="1:35">
      <c r="A8" s="3">
        <v>1954</v>
      </c>
      <c r="B8" s="2">
        <v>369</v>
      </c>
      <c r="C8" s="2">
        <v>430</v>
      </c>
      <c r="D8" s="2">
        <v>492</v>
      </c>
      <c r="E8" s="2">
        <v>752</v>
      </c>
      <c r="F8" s="2">
        <v>2239</v>
      </c>
      <c r="G8" s="2">
        <v>5863</v>
      </c>
      <c r="H8" s="2">
        <v>19762</v>
      </c>
      <c r="I8" s="2">
        <v>11786</v>
      </c>
      <c r="J8" s="2">
        <v>6740</v>
      </c>
      <c r="K8" s="2">
        <v>1059</v>
      </c>
      <c r="L8" s="2">
        <v>595</v>
      </c>
      <c r="M8" s="2">
        <v>607</v>
      </c>
      <c r="N8" s="2">
        <f t="shared" si="0"/>
        <v>50694</v>
      </c>
      <c r="O8" s="2"/>
    </row>
    <row r="9" spans="1:35">
      <c r="A9" s="3">
        <v>1955</v>
      </c>
      <c r="B9" s="2">
        <v>583</v>
      </c>
      <c r="C9" s="2">
        <v>555</v>
      </c>
      <c r="D9" s="2">
        <v>795</v>
      </c>
      <c r="E9" s="2">
        <v>1010</v>
      </c>
      <c r="F9" s="2">
        <v>9237</v>
      </c>
      <c r="G9" s="2">
        <v>2283</v>
      </c>
      <c r="H9" s="2">
        <v>18871</v>
      </c>
      <c r="I9" s="2">
        <v>29935</v>
      </c>
      <c r="J9" s="2">
        <v>10685</v>
      </c>
      <c r="K9" s="2">
        <v>649</v>
      </c>
      <c r="L9" s="2">
        <v>468</v>
      </c>
      <c r="M9" s="2">
        <v>504</v>
      </c>
      <c r="N9" s="2">
        <f t="shared" si="0"/>
        <v>75575</v>
      </c>
      <c r="O9" s="2"/>
    </row>
    <row r="10" spans="1:35">
      <c r="A10" s="3">
        <v>1956</v>
      </c>
      <c r="B10" s="2">
        <v>512</v>
      </c>
      <c r="C10" s="2">
        <v>496</v>
      </c>
      <c r="D10" s="2">
        <v>562</v>
      </c>
      <c r="E10" s="2">
        <v>716</v>
      </c>
      <c r="F10" s="2">
        <v>8286</v>
      </c>
      <c r="G10" s="2">
        <v>12581</v>
      </c>
      <c r="H10" s="2">
        <v>23172</v>
      </c>
      <c r="I10" s="2">
        <v>26868</v>
      </c>
      <c r="J10" s="2">
        <v>11135</v>
      </c>
      <c r="K10" s="2">
        <v>3412</v>
      </c>
      <c r="L10" s="2">
        <v>547</v>
      </c>
      <c r="M10" s="2">
        <v>504</v>
      </c>
      <c r="N10" s="2">
        <f t="shared" si="0"/>
        <v>88791</v>
      </c>
      <c r="O10" s="2"/>
    </row>
    <row r="11" spans="1:35">
      <c r="A11" s="3">
        <v>1957</v>
      </c>
      <c r="B11" s="2">
        <v>593</v>
      </c>
      <c r="C11" s="2">
        <v>696</v>
      </c>
      <c r="D11" s="2">
        <v>482</v>
      </c>
      <c r="E11" s="2">
        <v>468</v>
      </c>
      <c r="F11" s="2">
        <v>1430</v>
      </c>
      <c r="G11" s="2">
        <v>22862</v>
      </c>
      <c r="H11" s="2">
        <v>177098</v>
      </c>
      <c r="I11" s="2">
        <v>30866</v>
      </c>
      <c r="J11" s="2">
        <v>8830</v>
      </c>
      <c r="K11" s="2">
        <v>27480</v>
      </c>
      <c r="L11" s="2">
        <v>2280</v>
      </c>
      <c r="M11" s="2">
        <v>10660</v>
      </c>
      <c r="N11" s="2">
        <f t="shared" si="0"/>
        <v>283745</v>
      </c>
      <c r="O11" s="2"/>
    </row>
    <row r="12" spans="1:35">
      <c r="A12" s="3">
        <v>1958</v>
      </c>
      <c r="B12" s="2">
        <v>10374</v>
      </c>
      <c r="C12" s="2">
        <v>14016</v>
      </c>
      <c r="D12" s="2">
        <v>42710</v>
      </c>
      <c r="E12" s="2">
        <v>79356</v>
      </c>
      <c r="F12" s="2">
        <v>40926</v>
      </c>
      <c r="G12" s="2">
        <v>42544</v>
      </c>
      <c r="H12" s="2">
        <v>28590</v>
      </c>
      <c r="I12" s="2">
        <v>55024</v>
      </c>
      <c r="J12" s="2">
        <v>15074</v>
      </c>
      <c r="K12" s="2">
        <v>17290</v>
      </c>
      <c r="L12" s="2">
        <v>8264</v>
      </c>
      <c r="M12" s="2">
        <v>18600</v>
      </c>
      <c r="N12" s="2">
        <f t="shared" si="0"/>
        <v>372768</v>
      </c>
      <c r="O12" s="2"/>
    </row>
    <row r="13" spans="1:35">
      <c r="A13" s="3">
        <v>1959</v>
      </c>
      <c r="B13" s="2">
        <v>22590</v>
      </c>
      <c r="C13" s="2">
        <v>28000</v>
      </c>
      <c r="D13" s="2">
        <v>21860</v>
      </c>
      <c r="E13" s="2">
        <v>36044</v>
      </c>
      <c r="F13" s="2">
        <f>888+31566</f>
        <v>32454</v>
      </c>
      <c r="G13" s="2">
        <f>2690+256+28692</f>
        <v>31638</v>
      </c>
      <c r="H13" s="2">
        <f>8104+1658+23996</f>
        <v>33758</v>
      </c>
      <c r="I13" s="2">
        <f>9472+1342+25232</f>
        <v>36046</v>
      </c>
      <c r="J13" s="2">
        <f>2408+46+6230</f>
        <v>8684</v>
      </c>
      <c r="K13" s="2">
        <v>660</v>
      </c>
      <c r="L13" s="2">
        <v>790</v>
      </c>
      <c r="M13" s="2">
        <v>1098</v>
      </c>
      <c r="N13" s="2">
        <f t="shared" si="0"/>
        <v>253622</v>
      </c>
      <c r="O13" s="2"/>
    </row>
    <row r="14" spans="1:35">
      <c r="A14" s="3">
        <v>1960</v>
      </c>
      <c r="B14" s="2">
        <v>743</v>
      </c>
      <c r="C14" s="2">
        <v>774</v>
      </c>
      <c r="D14" s="2">
        <v>620</v>
      </c>
      <c r="E14" s="2">
        <v>140562</v>
      </c>
      <c r="F14" s="2">
        <f>132856+1028</f>
        <v>133884</v>
      </c>
      <c r="G14" s="2">
        <f>86410+1024</f>
        <v>87434</v>
      </c>
      <c r="H14" s="2">
        <f>62466+7944</f>
        <v>70410</v>
      </c>
      <c r="I14" s="2">
        <f>10350+21208</f>
        <v>31558</v>
      </c>
      <c r="J14" s="2">
        <f>3726+3244</f>
        <v>6970</v>
      </c>
      <c r="K14" s="2">
        <v>620</v>
      </c>
      <c r="L14" s="2">
        <v>492</v>
      </c>
      <c r="M14" s="2">
        <v>620</v>
      </c>
      <c r="N14" s="2">
        <f t="shared" si="0"/>
        <v>474687</v>
      </c>
      <c r="O14" s="2"/>
    </row>
    <row r="15" spans="1:35">
      <c r="A15" s="3">
        <v>1961</v>
      </c>
      <c r="B15" s="2">
        <v>620</v>
      </c>
      <c r="C15" s="2">
        <v>560</v>
      </c>
      <c r="D15" s="2">
        <v>620</v>
      </c>
      <c r="E15" s="2">
        <v>600</v>
      </c>
      <c r="F15" s="2">
        <f>39272+488</f>
        <v>39760</v>
      </c>
      <c r="G15" s="2">
        <f>94392+2820</f>
        <v>97212</v>
      </c>
      <c r="H15" s="2">
        <f>47010+10040</f>
        <v>57050</v>
      </c>
      <c r="I15" s="2">
        <f>19682+10618</f>
        <v>30300</v>
      </c>
      <c r="J15" s="2">
        <f>5006+310+3330</f>
        <v>8646</v>
      </c>
      <c r="K15" s="2">
        <v>620</v>
      </c>
      <c r="L15" s="2">
        <v>600</v>
      </c>
      <c r="M15" s="2">
        <v>620</v>
      </c>
      <c r="N15" s="2">
        <f t="shared" si="0"/>
        <v>237208</v>
      </c>
      <c r="O15" s="2"/>
    </row>
    <row r="16" spans="1:35">
      <c r="A16" s="3">
        <v>1962</v>
      </c>
      <c r="B16" s="2">
        <v>620</v>
      </c>
      <c r="C16" s="2">
        <v>546</v>
      </c>
      <c r="D16" s="2">
        <v>620</v>
      </c>
      <c r="E16" s="2">
        <v>29112</v>
      </c>
      <c r="F16" s="2">
        <f>17152+2298+194</f>
        <v>19644</v>
      </c>
      <c r="G16" s="2">
        <f>104726+680+148</f>
        <v>105554</v>
      </c>
      <c r="H16" s="2">
        <f>171180+4248+696</f>
        <v>176124</v>
      </c>
      <c r="I16" s="2">
        <f>116300+8030+890</f>
        <v>125220</v>
      </c>
      <c r="J16" s="2">
        <f>47800+2140+18</f>
        <v>49958</v>
      </c>
      <c r="K16" s="2">
        <v>11600</v>
      </c>
      <c r="L16" s="2">
        <v>3000</v>
      </c>
      <c r="M16" s="2">
        <v>3100</v>
      </c>
      <c r="N16" s="2">
        <f t="shared" si="0"/>
        <v>525098</v>
      </c>
      <c r="O16" s="2"/>
    </row>
    <row r="17" spans="1:15">
      <c r="A17" s="3">
        <v>1963</v>
      </c>
      <c r="B17" s="2">
        <v>3220</v>
      </c>
      <c r="C17" s="2">
        <v>26446</v>
      </c>
      <c r="D17" s="2">
        <v>50710</v>
      </c>
      <c r="E17" s="2">
        <f>24626+106</f>
        <v>24732</v>
      </c>
      <c r="F17" s="2">
        <f>11750+3458+92</f>
        <v>15300</v>
      </c>
      <c r="G17" s="2">
        <f>10026+3134+98</f>
        <v>13258</v>
      </c>
      <c r="H17" s="2">
        <f>44226+13268+2098</f>
        <v>59592</v>
      </c>
      <c r="I17" s="2">
        <v>52972</v>
      </c>
      <c r="J17" s="2">
        <f>16702+662+34</f>
        <v>17398</v>
      </c>
      <c r="K17" s="2">
        <v>14066</v>
      </c>
      <c r="L17" s="2">
        <v>12000</v>
      </c>
      <c r="M17" s="2">
        <v>10266</v>
      </c>
      <c r="N17" s="2">
        <f t="shared" si="0"/>
        <v>299960</v>
      </c>
      <c r="O17" s="2"/>
    </row>
    <row r="18" spans="1:15">
      <c r="A18" s="3">
        <v>1964</v>
      </c>
      <c r="B18" s="2">
        <v>6200</v>
      </c>
      <c r="C18" s="2">
        <v>11732</v>
      </c>
      <c r="D18" s="2">
        <v>620</v>
      </c>
      <c r="E18" s="2">
        <f>600+140</f>
        <v>740</v>
      </c>
      <c r="F18" s="2">
        <f>3762+3384+236</f>
        <v>7382</v>
      </c>
      <c r="G18" s="2">
        <f>5746+2154+16</f>
        <v>7916</v>
      </c>
      <c r="H18" s="2">
        <f>55858+14362+2232</f>
        <v>72452</v>
      </c>
      <c r="I18" s="2">
        <f>36762+7828+1096</f>
        <v>45686</v>
      </c>
      <c r="J18" s="2">
        <f>29636+950+26</f>
        <v>30612</v>
      </c>
      <c r="K18" s="2">
        <v>620</v>
      </c>
      <c r="L18" s="2">
        <v>600</v>
      </c>
      <c r="M18" s="2">
        <v>1228</v>
      </c>
      <c r="N18" s="2">
        <f t="shared" si="0"/>
        <v>185788</v>
      </c>
      <c r="O18" s="2"/>
    </row>
    <row r="19" spans="1:15">
      <c r="A19" s="3">
        <v>1965</v>
      </c>
      <c r="B19" s="2">
        <v>3620</v>
      </c>
      <c r="C19" s="2">
        <v>560</v>
      </c>
      <c r="D19" s="2">
        <v>620</v>
      </c>
      <c r="E19" s="2">
        <v>600</v>
      </c>
      <c r="F19" s="2">
        <f>620+798+134</f>
        <v>1552</v>
      </c>
      <c r="G19" s="2">
        <f>30480+1842+150</f>
        <v>32472</v>
      </c>
      <c r="H19" s="2">
        <f>84650+5938+744</f>
        <v>91332</v>
      </c>
      <c r="I19" s="2">
        <f>27724+10150+1286</f>
        <v>39160</v>
      </c>
      <c r="J19" s="2">
        <f>9814+808</f>
        <v>10622</v>
      </c>
      <c r="K19" s="2">
        <v>118466</v>
      </c>
      <c r="L19" s="2">
        <v>56660</v>
      </c>
      <c r="M19" s="2">
        <v>29300</v>
      </c>
      <c r="N19" s="2">
        <f t="shared" si="0"/>
        <v>384964</v>
      </c>
      <c r="O19" s="2"/>
    </row>
    <row r="20" spans="1:15">
      <c r="A20" s="3">
        <v>1966</v>
      </c>
      <c r="B20" s="2">
        <v>31000</v>
      </c>
      <c r="C20" s="2">
        <v>34960</v>
      </c>
      <c r="D20" s="2">
        <v>48040</v>
      </c>
      <c r="E20" s="2">
        <v>32760</v>
      </c>
      <c r="F20" s="2">
        <f>17440+4142+130</f>
        <v>21712</v>
      </c>
      <c r="G20" s="2">
        <f>17732+2348+36</f>
        <v>20116</v>
      </c>
      <c r="H20" s="2">
        <f>68296+11516+1286</f>
        <v>81098</v>
      </c>
      <c r="I20" s="2">
        <f>11560+7064+620</f>
        <v>19244</v>
      </c>
      <c r="J20" s="2">
        <f>12950+3098+48</f>
        <v>16096</v>
      </c>
      <c r="K20" s="2">
        <f>10714+434</f>
        <v>11148</v>
      </c>
      <c r="L20" s="2">
        <v>13892</v>
      </c>
      <c r="M20" s="2">
        <v>7708</v>
      </c>
      <c r="N20" s="2">
        <f t="shared" si="0"/>
        <v>337774</v>
      </c>
      <c r="O20" s="2"/>
    </row>
    <row r="21" spans="1:15">
      <c r="A21" s="3">
        <v>1967</v>
      </c>
      <c r="B21" s="2">
        <v>7750</v>
      </c>
      <c r="C21" s="2">
        <v>25836</v>
      </c>
      <c r="D21" s="2">
        <v>24876</v>
      </c>
      <c r="E21" s="2">
        <f>12828+420</f>
        <v>13248</v>
      </c>
      <c r="F21" s="2">
        <f>6060+2170</f>
        <v>8230</v>
      </c>
      <c r="G21" s="2">
        <v>73714</v>
      </c>
      <c r="H21" s="2">
        <f>136334+7652+806</f>
        <v>144792</v>
      </c>
      <c r="I21" s="2">
        <f>40400+11046+1286</f>
        <v>52732</v>
      </c>
      <c r="J21" s="2">
        <f>7810+3582+98</f>
        <v>11490</v>
      </c>
      <c r="K21" s="2">
        <v>6268</v>
      </c>
      <c r="L21" s="2">
        <v>600</v>
      </c>
      <c r="M21" s="2">
        <v>620</v>
      </c>
      <c r="N21" s="2">
        <f t="shared" si="0"/>
        <v>370156</v>
      </c>
      <c r="O21" s="2"/>
    </row>
    <row r="22" spans="1:15">
      <c r="A22" s="3">
        <v>1968</v>
      </c>
      <c r="B22" s="2">
        <v>620</v>
      </c>
      <c r="C22" s="2">
        <v>15760</v>
      </c>
      <c r="D22" s="2">
        <v>17750</v>
      </c>
      <c r="E22" s="2">
        <v>25940</v>
      </c>
      <c r="F22" s="2">
        <f>12400+1250</f>
        <v>13650</v>
      </c>
      <c r="G22" s="2">
        <f>15312+3182+0</f>
        <v>18494</v>
      </c>
      <c r="H22" s="2">
        <f>54526+12618+1500</f>
        <v>68644</v>
      </c>
      <c r="I22" s="2">
        <f>19220+6792+728</f>
        <v>26740</v>
      </c>
      <c r="J22" s="2">
        <f>1484+1280+54</f>
        <v>2818</v>
      </c>
      <c r="K22" s="2">
        <v>620</v>
      </c>
      <c r="L22" s="2">
        <v>600</v>
      </c>
      <c r="M22" s="2">
        <v>620</v>
      </c>
      <c r="N22" s="2">
        <f t="shared" si="0"/>
        <v>192256</v>
      </c>
      <c r="O22" s="2"/>
    </row>
    <row r="23" spans="1:15">
      <c r="A23" s="3">
        <v>1969</v>
      </c>
      <c r="B23" s="2">
        <v>5890</v>
      </c>
      <c r="C23" s="2">
        <v>14890</v>
      </c>
      <c r="D23" s="2">
        <v>620</v>
      </c>
      <c r="E23" s="2">
        <v>13464</v>
      </c>
      <c r="F23" s="2">
        <f>39996+1620</f>
        <v>41616</v>
      </c>
      <c r="G23" s="2">
        <f>34592+2428</f>
        <v>37020</v>
      </c>
      <c r="H23" s="2">
        <f>23842+7300+520</f>
        <v>31662</v>
      </c>
      <c r="I23" s="2">
        <f>29340+10680+1338</f>
        <v>41358</v>
      </c>
      <c r="J23" s="2">
        <v>1256</v>
      </c>
      <c r="K23" s="2">
        <v>620</v>
      </c>
      <c r="L23" s="2">
        <v>13420</v>
      </c>
      <c r="M23" s="2">
        <v>20340</v>
      </c>
      <c r="N23" s="2">
        <f t="shared" si="0"/>
        <v>222156</v>
      </c>
      <c r="O23" s="2"/>
    </row>
    <row r="24" spans="1:15">
      <c r="A24" s="3">
        <v>1970</v>
      </c>
      <c r="B24" s="2">
        <v>13900</v>
      </c>
      <c r="C24" s="2">
        <v>23320</v>
      </c>
      <c r="D24" s="2">
        <v>31070</v>
      </c>
      <c r="E24" s="2">
        <v>25460</v>
      </c>
      <c r="F24" s="2">
        <f>22454+2020</f>
        <v>24474</v>
      </c>
      <c r="G24" s="2">
        <f>8370+4332+332</f>
        <v>13034</v>
      </c>
      <c r="H24" s="2">
        <f>54836+15626+1954</f>
        <v>72416</v>
      </c>
      <c r="I24" s="2">
        <f>41096+10208+1076</f>
        <v>52380</v>
      </c>
      <c r="J24" s="2">
        <f>1298+576</f>
        <v>1874</v>
      </c>
      <c r="K24" s="2">
        <v>620</v>
      </c>
      <c r="L24" s="2">
        <v>600</v>
      </c>
      <c r="M24" s="2">
        <v>620</v>
      </c>
      <c r="N24" s="2">
        <f t="shared" si="0"/>
        <v>259768</v>
      </c>
      <c r="O24" s="2"/>
    </row>
    <row r="25" spans="1:15">
      <c r="A25" s="3">
        <v>1971</v>
      </c>
      <c r="B25" s="2">
        <v>620</v>
      </c>
      <c r="C25" s="2">
        <v>560</v>
      </c>
      <c r="D25" s="2">
        <v>620</v>
      </c>
      <c r="E25" s="2">
        <v>600</v>
      </c>
      <c r="F25" s="2">
        <f>620+2050</f>
        <v>2670</v>
      </c>
      <c r="G25" s="2">
        <f>5312+2272+220</f>
        <v>7804</v>
      </c>
      <c r="H25" s="2">
        <f>41336+15284+1654</f>
        <v>58274</v>
      </c>
      <c r="I25" s="2">
        <f>30304+13896+1748</f>
        <v>45948</v>
      </c>
      <c r="J25" s="2">
        <f>2164+724</f>
        <v>2888</v>
      </c>
      <c r="K25" s="2">
        <v>620</v>
      </c>
      <c r="L25" s="2">
        <v>600</v>
      </c>
      <c r="M25" s="2">
        <v>620</v>
      </c>
      <c r="N25" s="2">
        <f t="shared" si="0"/>
        <v>121824</v>
      </c>
      <c r="O25" s="2"/>
    </row>
    <row r="26" spans="1:15">
      <c r="A26" s="3">
        <v>1972</v>
      </c>
      <c r="B26" s="2">
        <v>740</v>
      </c>
      <c r="C26" s="2">
        <v>580</v>
      </c>
      <c r="D26" s="2">
        <v>620</v>
      </c>
      <c r="E26" s="2">
        <f>600+0</f>
        <v>600</v>
      </c>
      <c r="F26" s="2">
        <f>620+2478+0</f>
        <v>3098</v>
      </c>
      <c r="G26" s="2">
        <f>1850+1370+0</f>
        <v>3220</v>
      </c>
      <c r="H26" s="2">
        <f>36222+13814+1798</f>
        <v>51834</v>
      </c>
      <c r="I26" s="2">
        <f>16488+9910+1030</f>
        <v>27428</v>
      </c>
      <c r="J26" s="2">
        <f>600+194+0</f>
        <v>794</v>
      </c>
      <c r="K26" s="2">
        <v>620</v>
      </c>
      <c r="L26" s="2">
        <v>600</v>
      </c>
      <c r="M26" s="2">
        <v>620</v>
      </c>
      <c r="N26" s="2">
        <f t="shared" si="0"/>
        <v>90754</v>
      </c>
      <c r="O26" s="2"/>
    </row>
    <row r="27" spans="1:15">
      <c r="A27" s="3">
        <v>1973</v>
      </c>
      <c r="B27" s="2">
        <v>710</v>
      </c>
      <c r="C27" s="2">
        <v>560</v>
      </c>
      <c r="D27" s="2">
        <v>620</v>
      </c>
      <c r="E27" s="2">
        <v>600</v>
      </c>
      <c r="F27" s="2">
        <f>27810+2620+0</f>
        <v>30430</v>
      </c>
      <c r="G27" s="2">
        <f>19822+2736+158</f>
        <v>22716</v>
      </c>
      <c r="H27" s="2">
        <f>23326+11470+1078</f>
        <v>35874</v>
      </c>
      <c r="I27" s="2">
        <f>22998+13050+1574</f>
        <v>37622</v>
      </c>
      <c r="J27" s="2">
        <f>2908+1434+86</f>
        <v>4428</v>
      </c>
      <c r="K27" s="2">
        <v>620</v>
      </c>
      <c r="L27" s="2">
        <v>600</v>
      </c>
      <c r="M27" s="2">
        <v>620</v>
      </c>
      <c r="N27" s="2">
        <f t="shared" si="0"/>
        <v>135400</v>
      </c>
      <c r="O27" s="2"/>
    </row>
    <row r="28" spans="1:15">
      <c r="A28" s="3">
        <v>1974</v>
      </c>
      <c r="B28" s="2">
        <v>3250</v>
      </c>
      <c r="C28" s="2">
        <v>27750</v>
      </c>
      <c r="D28" s="2">
        <v>31000</v>
      </c>
      <c r="E28" s="2">
        <v>22630</v>
      </c>
      <c r="F28" s="2">
        <f>17468+1950</f>
        <v>19418</v>
      </c>
      <c r="G28" s="2">
        <f>11254+4208+364</f>
        <v>15826</v>
      </c>
      <c r="H28" s="2">
        <f>54824+15686+2078</f>
        <v>72588</v>
      </c>
      <c r="I28" s="2">
        <f>23586+9212+772</f>
        <v>33570</v>
      </c>
      <c r="J28" s="2">
        <f>786+340+0</f>
        <v>1126</v>
      </c>
      <c r="K28" s="2">
        <v>620</v>
      </c>
      <c r="L28" s="2">
        <v>600</v>
      </c>
      <c r="M28" s="2">
        <v>620</v>
      </c>
      <c r="N28" s="2">
        <f t="shared" si="0"/>
        <v>228998</v>
      </c>
      <c r="O28" s="2"/>
    </row>
    <row r="29" spans="1:15">
      <c r="A29" s="3">
        <v>1975</v>
      </c>
      <c r="B29" s="2">
        <v>620</v>
      </c>
      <c r="C29" s="2">
        <v>560</v>
      </c>
      <c r="D29" s="2">
        <v>620</v>
      </c>
      <c r="E29" s="2">
        <v>600</v>
      </c>
      <c r="F29" s="2">
        <f>1990+0</f>
        <v>1990</v>
      </c>
      <c r="G29" s="2">
        <f>7900+2734+104</f>
        <v>10738</v>
      </c>
      <c r="H29" s="2">
        <f>54646+13654+1540</f>
        <v>69840</v>
      </c>
      <c r="I29" s="2">
        <f>30334+12482+1560</f>
        <v>44376</v>
      </c>
      <c r="J29" s="2">
        <f>5054+1142</f>
        <v>6196</v>
      </c>
      <c r="K29" s="2">
        <v>620</v>
      </c>
      <c r="L29" s="2">
        <v>600</v>
      </c>
      <c r="M29" s="2">
        <v>620</v>
      </c>
      <c r="N29" s="2">
        <f t="shared" si="0"/>
        <v>137380</v>
      </c>
      <c r="O29" s="2"/>
    </row>
    <row r="30" spans="1:15">
      <c r="A30" s="3">
        <v>1976</v>
      </c>
      <c r="B30" s="2">
        <v>770</v>
      </c>
      <c r="C30" s="2">
        <v>580</v>
      </c>
      <c r="D30" s="2">
        <v>620</v>
      </c>
      <c r="E30" s="2">
        <v>300</v>
      </c>
      <c r="F30" s="2">
        <v>620</v>
      </c>
      <c r="G30" s="2">
        <f>21676+4628+288</f>
        <v>26592</v>
      </c>
      <c r="H30" s="2">
        <f>57390+14696+2144</f>
        <v>74230</v>
      </c>
      <c r="I30" s="2">
        <f>46732+14130+1764</f>
        <v>62626</v>
      </c>
      <c r="J30" s="2">
        <f>6018+1838+22</f>
        <v>7878</v>
      </c>
      <c r="K30" s="2">
        <v>492</v>
      </c>
      <c r="L30" s="2">
        <v>300</v>
      </c>
      <c r="M30" s="2">
        <v>310</v>
      </c>
      <c r="N30" s="2">
        <f t="shared" si="0"/>
        <v>175318</v>
      </c>
      <c r="O30" s="2"/>
    </row>
    <row r="31" spans="1:15">
      <c r="A31" s="3">
        <v>1977</v>
      </c>
      <c r="B31" s="2">
        <v>310</v>
      </c>
      <c r="C31" s="2">
        <v>280</v>
      </c>
      <c r="D31" s="2">
        <v>310</v>
      </c>
      <c r="E31" s="2">
        <v>600</v>
      </c>
      <c r="F31" s="2">
        <v>310</v>
      </c>
      <c r="G31" s="2">
        <f>8464+3570+584</f>
        <v>12618</v>
      </c>
      <c r="H31" s="2">
        <f>53240+13924+1736</f>
        <v>68900</v>
      </c>
      <c r="I31" s="2">
        <f>13418+4408+444</f>
        <v>18270</v>
      </c>
      <c r="J31" s="2">
        <v>600</v>
      </c>
      <c r="K31" s="2">
        <v>620</v>
      </c>
      <c r="L31" s="2">
        <v>600</v>
      </c>
      <c r="M31" s="2">
        <v>620</v>
      </c>
      <c r="N31" s="2">
        <f t="shared" si="0"/>
        <v>104038</v>
      </c>
      <c r="O31" s="2"/>
    </row>
    <row r="32" spans="1:15">
      <c r="A32" s="3">
        <v>1978</v>
      </c>
      <c r="B32" s="2">
        <v>620</v>
      </c>
      <c r="C32" s="2">
        <v>560</v>
      </c>
      <c r="D32" s="2">
        <v>620</v>
      </c>
      <c r="E32" s="2">
        <v>460</v>
      </c>
      <c r="F32" s="2">
        <v>620</v>
      </c>
      <c r="G32" s="2">
        <f>12408+482+3190</f>
        <v>16080</v>
      </c>
      <c r="H32" s="2">
        <v>50984</v>
      </c>
      <c r="I32" s="2">
        <f>19034+606+8318</f>
        <v>27958</v>
      </c>
      <c r="J32" s="2">
        <f>3630+106+2116</f>
        <v>5852</v>
      </c>
      <c r="K32" s="2">
        <v>620</v>
      </c>
      <c r="L32" s="2">
        <v>600</v>
      </c>
      <c r="M32" s="2">
        <v>620</v>
      </c>
      <c r="N32" s="2">
        <f t="shared" si="0"/>
        <v>105594</v>
      </c>
      <c r="O32" s="2"/>
    </row>
    <row r="33" spans="1:33">
      <c r="A33" s="3">
        <v>1979</v>
      </c>
      <c r="B33" s="2">
        <v>615</v>
      </c>
      <c r="C33" s="2">
        <v>756</v>
      </c>
      <c r="D33" s="2">
        <v>615</v>
      </c>
      <c r="E33" s="2">
        <v>590</v>
      </c>
      <c r="F33" s="2">
        <v>307</v>
      </c>
      <c r="G33" s="2">
        <v>298</v>
      </c>
      <c r="H33" s="2">
        <f>10756+6707+659</f>
        <v>18122</v>
      </c>
      <c r="I33" s="2">
        <f>22625+11134+1583</f>
        <v>35342</v>
      </c>
      <c r="J33" s="2">
        <v>662</v>
      </c>
      <c r="K33" s="2">
        <v>615</v>
      </c>
      <c r="L33" s="2">
        <v>595</v>
      </c>
      <c r="M33" s="2">
        <v>615</v>
      </c>
      <c r="N33" s="2">
        <f t="shared" si="0"/>
        <v>59132</v>
      </c>
      <c r="O33" s="2"/>
    </row>
    <row r="34" spans="1:33">
      <c r="A34" s="3">
        <v>1980</v>
      </c>
      <c r="B34" s="2">
        <v>615</v>
      </c>
      <c r="C34" s="2">
        <v>575</v>
      </c>
      <c r="D34" s="2">
        <v>615</v>
      </c>
      <c r="E34" s="2">
        <v>590</v>
      </c>
      <c r="F34" s="2">
        <v>615</v>
      </c>
      <c r="G34" s="2">
        <f>6830+1471+293</f>
        <v>8594</v>
      </c>
      <c r="H34" s="2">
        <f>49066+15497+2150</f>
        <v>66713</v>
      </c>
      <c r="I34" s="2">
        <f>36674+12537+1214</f>
        <v>50425</v>
      </c>
      <c r="J34" s="2">
        <f>1150+526+37</f>
        <v>1713</v>
      </c>
      <c r="K34" s="2">
        <v>615</v>
      </c>
      <c r="L34" s="2">
        <v>595</v>
      </c>
      <c r="M34" s="2">
        <v>615</v>
      </c>
      <c r="N34" s="2">
        <f t="shared" si="0"/>
        <v>132280</v>
      </c>
      <c r="O34" s="2"/>
    </row>
    <row r="35" spans="1:33">
      <c r="A35" s="3">
        <v>1981</v>
      </c>
      <c r="B35" s="2">
        <v>615</v>
      </c>
      <c r="C35" s="2">
        <v>509</v>
      </c>
      <c r="D35" s="2">
        <v>307</v>
      </c>
      <c r="E35" s="2">
        <v>298</v>
      </c>
      <c r="F35" s="2">
        <v>528</v>
      </c>
      <c r="G35" s="2">
        <f>10735+882+40</f>
        <v>11657</v>
      </c>
      <c r="H35" s="2">
        <f>24067+10102+1055</f>
        <v>35224</v>
      </c>
      <c r="I35" s="2">
        <f>5280+5108+334</f>
        <v>10722</v>
      </c>
      <c r="J35" s="2">
        <v>595</v>
      </c>
      <c r="K35" s="2">
        <v>615</v>
      </c>
      <c r="L35" s="2">
        <v>595</v>
      </c>
      <c r="M35" s="2">
        <v>615</v>
      </c>
      <c r="N35" s="2">
        <f t="shared" si="0"/>
        <v>62280</v>
      </c>
      <c r="O35" s="2"/>
    </row>
    <row r="36" spans="1:33">
      <c r="A36" s="3">
        <v>1982</v>
      </c>
      <c r="B36" s="2">
        <v>615</v>
      </c>
      <c r="C36" s="2">
        <v>555</v>
      </c>
      <c r="D36" s="2">
        <v>615</v>
      </c>
      <c r="E36" s="2">
        <v>595</v>
      </c>
      <c r="F36" s="2">
        <v>615</v>
      </c>
      <c r="G36" s="2">
        <v>595</v>
      </c>
      <c r="H36" s="2">
        <f>19783+8030+888</f>
        <v>28701</v>
      </c>
      <c r="I36" s="2">
        <f>21533+11700+1178</f>
        <v>34411</v>
      </c>
      <c r="J36" s="2">
        <f>1807+3486+353</f>
        <v>5646</v>
      </c>
      <c r="K36" s="2">
        <v>255</v>
      </c>
      <c r="L36" s="2">
        <v>10</v>
      </c>
      <c r="M36" s="2">
        <v>0</v>
      </c>
      <c r="N36" s="2">
        <f t="shared" si="0"/>
        <v>72613</v>
      </c>
      <c r="O36" s="2"/>
    </row>
    <row r="37" spans="1:33">
      <c r="A37" s="3">
        <v>1983</v>
      </c>
      <c r="B37" s="2">
        <v>408</v>
      </c>
      <c r="C37" s="2">
        <v>8022</v>
      </c>
      <c r="D37" s="2">
        <v>30953</v>
      </c>
      <c r="E37" s="2">
        <v>31376</v>
      </c>
      <c r="F37" s="2">
        <v>31593</v>
      </c>
      <c r="G37" s="2">
        <f>60169+7</f>
        <v>60176</v>
      </c>
      <c r="H37" s="2">
        <f>42714+13355+1429</f>
        <v>57498</v>
      </c>
      <c r="I37" s="2">
        <f>34597+12520+1441</f>
        <v>48558</v>
      </c>
      <c r="J37" s="2">
        <f>3718+2337+130</f>
        <v>6185</v>
      </c>
      <c r="K37" s="2">
        <v>0</v>
      </c>
      <c r="L37" s="2">
        <v>0</v>
      </c>
      <c r="M37" s="2">
        <v>593</v>
      </c>
      <c r="N37" s="2">
        <f t="shared" si="0"/>
        <v>275362</v>
      </c>
      <c r="O37" s="2"/>
    </row>
    <row r="38" spans="1:33">
      <c r="A38" s="3">
        <v>1984</v>
      </c>
      <c r="B38" s="2">
        <v>615</v>
      </c>
      <c r="C38" s="2">
        <v>575</v>
      </c>
      <c r="D38" s="2">
        <v>22</v>
      </c>
      <c r="E38" s="2">
        <v>5347</v>
      </c>
      <c r="F38" s="2">
        <v>43818</v>
      </c>
      <c r="G38" s="2">
        <f>18107+751+52</f>
        <v>18910</v>
      </c>
      <c r="H38" s="2">
        <f>36195+14673+1721</f>
        <v>52589</v>
      </c>
      <c r="I38" s="2">
        <f>37660+14189+1544</f>
        <v>53393</v>
      </c>
      <c r="J38" s="2">
        <f>4132+2896+227</f>
        <v>7255</v>
      </c>
      <c r="K38" s="2">
        <v>0</v>
      </c>
      <c r="L38" s="2">
        <v>0</v>
      </c>
      <c r="M38" s="2">
        <v>609</v>
      </c>
      <c r="N38" s="2">
        <f t="shared" si="0"/>
        <v>183133</v>
      </c>
      <c r="O38" s="2"/>
    </row>
    <row r="39" spans="1:33">
      <c r="A39" s="3">
        <v>1985</v>
      </c>
      <c r="B39" s="2">
        <v>1151</v>
      </c>
      <c r="C39" s="2">
        <v>802</v>
      </c>
      <c r="D39" s="2">
        <v>20</v>
      </c>
      <c r="E39" s="2">
        <v>0</v>
      </c>
      <c r="F39" s="2">
        <v>0</v>
      </c>
      <c r="G39" s="2">
        <f>7550+2156+400</f>
        <v>10106</v>
      </c>
      <c r="H39" s="2">
        <f>32844+13137+1303</f>
        <v>47284</v>
      </c>
      <c r="I39" s="2">
        <f>13891+10493+1134</f>
        <v>25518</v>
      </c>
      <c r="J39" s="2">
        <f>2049+3651+210</f>
        <v>5910</v>
      </c>
      <c r="K39" s="2">
        <v>8</v>
      </c>
      <c r="L39" s="2">
        <v>0</v>
      </c>
      <c r="M39" s="2">
        <v>886</v>
      </c>
      <c r="N39" s="2">
        <f t="shared" si="0"/>
        <v>91685</v>
      </c>
      <c r="O39" s="2"/>
    </row>
    <row r="40" spans="1:33">
      <c r="A40" s="3">
        <v>1986</v>
      </c>
      <c r="B40" s="2">
        <v>852</v>
      </c>
      <c r="C40" s="2">
        <v>684</v>
      </c>
      <c r="D40" s="2">
        <v>119</v>
      </c>
      <c r="E40" s="2">
        <v>0</v>
      </c>
      <c r="F40" s="2">
        <v>0</v>
      </c>
      <c r="G40" s="2">
        <f>20897+5549+635</f>
        <v>27081</v>
      </c>
      <c r="H40" s="2">
        <f>42305+15462+1687</f>
        <v>59454</v>
      </c>
      <c r="I40" s="2">
        <f>21830+11785+1181</f>
        <v>34796</v>
      </c>
      <c r="J40" s="2">
        <f>818+600+50</f>
        <v>1468</v>
      </c>
      <c r="K40" s="2">
        <v>0</v>
      </c>
      <c r="L40" s="2">
        <v>0</v>
      </c>
      <c r="M40" s="2">
        <v>826</v>
      </c>
      <c r="N40" s="2">
        <f t="shared" si="0"/>
        <v>125280</v>
      </c>
      <c r="O40" s="2"/>
    </row>
    <row r="41" spans="1:33">
      <c r="A41" s="3">
        <v>1987</v>
      </c>
      <c r="B41" s="2">
        <v>615</v>
      </c>
      <c r="C41" s="2">
        <v>555</v>
      </c>
      <c r="D41" s="2">
        <v>42</v>
      </c>
      <c r="E41" s="2">
        <v>78</v>
      </c>
      <c r="F41" s="2">
        <v>0</v>
      </c>
      <c r="G41" s="2">
        <f>13364+4084+676</f>
        <v>18124</v>
      </c>
      <c r="H41" s="2">
        <f>24934+12747+1100</f>
        <v>38781</v>
      </c>
      <c r="I41" s="2">
        <f>12463+8813+778</f>
        <v>22054</v>
      </c>
      <c r="J41" s="2">
        <v>650</v>
      </c>
      <c r="K41" s="2">
        <v>0</v>
      </c>
      <c r="L41" s="2">
        <v>0</v>
      </c>
      <c r="M41" s="2">
        <v>595</v>
      </c>
      <c r="N41" s="2">
        <f t="shared" si="0"/>
        <v>81494</v>
      </c>
      <c r="O41" s="2"/>
    </row>
    <row r="42" spans="1:33">
      <c r="A42" s="3">
        <v>1988</v>
      </c>
      <c r="B42" s="2">
        <v>1090</v>
      </c>
      <c r="C42" s="2">
        <v>575</v>
      </c>
      <c r="D42" s="2">
        <v>21</v>
      </c>
      <c r="E42" s="2">
        <v>0</v>
      </c>
      <c r="F42" s="2">
        <v>615</v>
      </c>
      <c r="G42" s="2">
        <f>38385+7321+1104</f>
        <v>46810</v>
      </c>
      <c r="H42" s="2">
        <f>43122+12481+1105</f>
        <v>56708</v>
      </c>
      <c r="I42" s="2">
        <f>24472+11634+891</f>
        <v>36997</v>
      </c>
      <c r="J42" s="2">
        <f>1360+1408+0</f>
        <v>2768</v>
      </c>
      <c r="K42" s="2">
        <v>0</v>
      </c>
      <c r="L42" s="2">
        <v>0</v>
      </c>
      <c r="M42" s="2">
        <v>511</v>
      </c>
      <c r="N42" s="2">
        <f t="shared" si="0"/>
        <v>146095</v>
      </c>
      <c r="O42" s="2"/>
    </row>
    <row r="43" spans="1:33">
      <c r="A43" s="3">
        <v>1989</v>
      </c>
      <c r="B43" s="2">
        <v>595</v>
      </c>
      <c r="C43" s="2">
        <v>555</v>
      </c>
      <c r="D43" s="2">
        <v>21</v>
      </c>
      <c r="E43" s="2">
        <v>0</v>
      </c>
      <c r="F43" s="2">
        <v>0</v>
      </c>
      <c r="G43" s="2">
        <f>14326+1765+134</f>
        <v>16225</v>
      </c>
      <c r="H43" s="2">
        <f>28622+11538+1225</f>
        <v>41385</v>
      </c>
      <c r="I43" s="2">
        <f>20396+11026+959</f>
        <v>32381</v>
      </c>
      <c r="J43" s="2">
        <f>2256+191</f>
        <v>2447</v>
      </c>
      <c r="K43" s="2">
        <v>0</v>
      </c>
      <c r="L43" s="2">
        <v>0</v>
      </c>
      <c r="M43" s="2">
        <v>0</v>
      </c>
      <c r="N43" s="2">
        <f t="shared" si="0"/>
        <v>93609</v>
      </c>
      <c r="O43" s="2"/>
    </row>
    <row r="44" spans="1:33">
      <c r="A44" s="3">
        <v>1990</v>
      </c>
      <c r="B44" s="2">
        <v>0</v>
      </c>
      <c r="C44" s="2">
        <v>0</v>
      </c>
      <c r="D44" s="2">
        <v>0</v>
      </c>
      <c r="E44" s="2">
        <v>0</v>
      </c>
      <c r="F44" s="2">
        <v>0</v>
      </c>
      <c r="G44" s="2">
        <f>2642+700+180</f>
        <v>3522</v>
      </c>
      <c r="H44" s="2">
        <f>34221+12544+1800</f>
        <v>48565</v>
      </c>
      <c r="I44" s="2">
        <f>14285+3738+324</f>
        <v>18347</v>
      </c>
      <c r="J44" s="2">
        <f>5165+4168+259</f>
        <v>9592</v>
      </c>
      <c r="K44" s="2">
        <v>0</v>
      </c>
      <c r="L44" s="2">
        <v>0</v>
      </c>
      <c r="M44" s="2">
        <v>0</v>
      </c>
      <c r="N44" s="2">
        <f t="shared" si="0"/>
        <v>80026</v>
      </c>
      <c r="O44" s="2"/>
    </row>
    <row r="45" spans="1:33">
      <c r="A45" s="3">
        <v>1991</v>
      </c>
      <c r="B45" s="2">
        <v>0</v>
      </c>
      <c r="C45" s="2">
        <v>0</v>
      </c>
      <c r="D45" s="2">
        <v>0</v>
      </c>
      <c r="E45" s="1">
        <v>0</v>
      </c>
      <c r="F45" s="2">
        <v>0</v>
      </c>
      <c r="G45" s="2">
        <v>10549</v>
      </c>
      <c r="H45" s="2">
        <v>37807</v>
      </c>
      <c r="I45" s="2">
        <v>21783</v>
      </c>
      <c r="J45" s="2">
        <v>0</v>
      </c>
      <c r="K45" s="2">
        <v>0</v>
      </c>
      <c r="L45" s="2">
        <v>0</v>
      </c>
      <c r="M45" s="2">
        <v>0</v>
      </c>
      <c r="N45" s="2">
        <f t="shared" si="0"/>
        <v>70139</v>
      </c>
      <c r="O45" s="2"/>
    </row>
    <row r="46" spans="1:33">
      <c r="A46" s="3">
        <v>1992</v>
      </c>
      <c r="B46" s="1">
        <v>0</v>
      </c>
      <c r="C46" s="1">
        <v>0</v>
      </c>
      <c r="D46" s="1">
        <v>0</v>
      </c>
      <c r="E46" s="4">
        <v>0</v>
      </c>
      <c r="F46" s="1">
        <v>0</v>
      </c>
      <c r="G46" s="1">
        <f>2182+4</f>
        <v>2186</v>
      </c>
      <c r="H46" s="1">
        <f>9810+3826+319</f>
        <v>13955</v>
      </c>
      <c r="I46" s="1">
        <f>9342+9208+780</f>
        <v>19330</v>
      </c>
      <c r="J46" s="1">
        <f>1820+82+1015</f>
        <v>2917</v>
      </c>
      <c r="K46" s="1">
        <v>0</v>
      </c>
      <c r="L46" s="1">
        <v>0</v>
      </c>
      <c r="M46" s="1">
        <v>0</v>
      </c>
      <c r="N46" s="2">
        <f t="shared" si="0"/>
        <v>38388</v>
      </c>
      <c r="O46" s="2"/>
    </row>
    <row r="47" spans="1:33">
      <c r="A47" s="3">
        <v>1993</v>
      </c>
      <c r="B47" s="2">
        <v>0</v>
      </c>
      <c r="C47" s="2">
        <v>0</v>
      </c>
      <c r="D47" s="2">
        <v>0</v>
      </c>
      <c r="E47" s="2">
        <v>0</v>
      </c>
      <c r="F47" s="2">
        <v>0</v>
      </c>
      <c r="G47" s="2">
        <v>11</v>
      </c>
      <c r="H47" s="2">
        <f>444+406</f>
        <v>850</v>
      </c>
      <c r="I47" s="2">
        <f>9576+7245+482</f>
        <v>17303</v>
      </c>
      <c r="J47" s="2">
        <v>32378</v>
      </c>
      <c r="K47" s="2">
        <v>59566</v>
      </c>
      <c r="L47" s="2">
        <v>59504</v>
      </c>
      <c r="M47" s="2">
        <v>35334</v>
      </c>
      <c r="N47" s="2">
        <f t="shared" si="0"/>
        <v>204946</v>
      </c>
      <c r="O47" s="2"/>
    </row>
    <row r="48" spans="1:33">
      <c r="A48" s="9">
        <v>1994</v>
      </c>
      <c r="B48" s="8">
        <v>14021</v>
      </c>
      <c r="C48" s="8">
        <v>19705</v>
      </c>
      <c r="D48" s="8">
        <v>36188</v>
      </c>
      <c r="E48" s="8">
        <v>1888</v>
      </c>
      <c r="F48" s="8">
        <v>9003</v>
      </c>
      <c r="G48" s="8">
        <f>16348+5978+645</f>
        <v>22971</v>
      </c>
      <c r="H48" s="8">
        <f>21975+11697+693</f>
        <v>34365</v>
      </c>
      <c r="I48" s="8">
        <f>23029+13487+1353</f>
        <v>37869</v>
      </c>
      <c r="J48" s="8">
        <f>209+1697+17</f>
        <v>1923</v>
      </c>
      <c r="K48" s="8">
        <v>0</v>
      </c>
      <c r="L48" s="8">
        <v>0</v>
      </c>
      <c r="M48" s="8">
        <v>0</v>
      </c>
      <c r="N48" s="8">
        <f t="shared" si="0"/>
        <v>177933</v>
      </c>
      <c r="O48" s="8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</row>
    <row r="49" spans="1:33">
      <c r="A49" s="9">
        <v>1995</v>
      </c>
      <c r="B49" s="8">
        <v>435</v>
      </c>
      <c r="C49" s="8">
        <v>555</v>
      </c>
      <c r="D49" s="8">
        <v>179</v>
      </c>
      <c r="E49" s="8">
        <v>0</v>
      </c>
      <c r="F49" s="8">
        <v>13479</v>
      </c>
      <c r="G49" s="8">
        <v>52363</v>
      </c>
      <c r="H49" s="8">
        <v>53996</v>
      </c>
      <c r="I49" s="8">
        <v>45913</v>
      </c>
      <c r="J49" s="8">
        <v>16260</v>
      </c>
      <c r="K49" s="8">
        <v>2</v>
      </c>
      <c r="L49" s="8">
        <v>0</v>
      </c>
      <c r="M49" s="8">
        <v>0</v>
      </c>
      <c r="N49" s="8">
        <f t="shared" ref="N49:N71" si="1">SUM(B49:M49)</f>
        <v>183182</v>
      </c>
      <c r="O49" s="8"/>
      <c r="P49" s="8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</row>
    <row r="50" spans="1:33">
      <c r="A50" s="3">
        <v>1996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14292</v>
      </c>
      <c r="H50" s="1">
        <v>42417</v>
      </c>
      <c r="I50" s="1">
        <v>70269</v>
      </c>
      <c r="J50" s="1">
        <v>71046</v>
      </c>
      <c r="K50" s="2">
        <v>51585</v>
      </c>
      <c r="L50" s="2">
        <v>16568</v>
      </c>
      <c r="M50" s="2">
        <v>13586</v>
      </c>
      <c r="N50" s="2">
        <f t="shared" si="1"/>
        <v>279763</v>
      </c>
      <c r="O50" s="2"/>
      <c r="P50" s="2"/>
    </row>
    <row r="51" spans="1:33">
      <c r="A51" s="3">
        <v>1997</v>
      </c>
      <c r="B51" s="1">
        <v>686</v>
      </c>
      <c r="C51" s="1">
        <v>555</v>
      </c>
      <c r="D51" s="1">
        <v>615</v>
      </c>
      <c r="E51" s="1">
        <v>45918</v>
      </c>
      <c r="F51" s="1">
        <v>13970</v>
      </c>
      <c r="G51" s="1">
        <v>16519</v>
      </c>
      <c r="H51" s="1">
        <v>52715</v>
      </c>
      <c r="I51" s="1">
        <v>33760</v>
      </c>
      <c r="J51" s="1">
        <v>4011</v>
      </c>
      <c r="K51" s="2">
        <v>0</v>
      </c>
      <c r="L51" s="2">
        <v>0</v>
      </c>
      <c r="M51" s="2">
        <v>590</v>
      </c>
      <c r="N51" s="2">
        <f t="shared" si="1"/>
        <v>169339</v>
      </c>
      <c r="O51" s="2"/>
      <c r="P51" s="2"/>
    </row>
    <row r="52" spans="1:33">
      <c r="A52" s="3">
        <v>1998</v>
      </c>
      <c r="B52" s="1">
        <v>615</v>
      </c>
      <c r="C52" s="1">
        <v>555</v>
      </c>
      <c r="D52" s="1">
        <v>615</v>
      </c>
      <c r="E52" s="1">
        <v>14389</v>
      </c>
      <c r="F52" s="1">
        <v>11727</v>
      </c>
      <c r="G52" s="1">
        <v>24347</v>
      </c>
      <c r="H52" s="1">
        <v>44299</v>
      </c>
      <c r="I52" s="1">
        <v>30803</v>
      </c>
      <c r="J52" s="1">
        <v>1651</v>
      </c>
      <c r="K52" s="2">
        <v>0</v>
      </c>
      <c r="L52" s="2">
        <v>0</v>
      </c>
      <c r="M52" s="2">
        <v>554</v>
      </c>
      <c r="N52" s="2">
        <f t="shared" si="1"/>
        <v>129555</v>
      </c>
      <c r="O52" s="2"/>
      <c r="P52" s="2"/>
    </row>
    <row r="53" spans="1:33">
      <c r="A53" s="3">
        <v>1999</v>
      </c>
      <c r="B53" s="6">
        <v>615</v>
      </c>
      <c r="C53" s="6">
        <v>555</v>
      </c>
      <c r="D53" s="6">
        <v>101</v>
      </c>
      <c r="E53" s="6">
        <v>0</v>
      </c>
      <c r="F53" s="6">
        <v>0</v>
      </c>
      <c r="G53" s="6">
        <v>11134</v>
      </c>
      <c r="H53" s="6">
        <v>48741</v>
      </c>
      <c r="I53" s="6">
        <v>32704</v>
      </c>
      <c r="J53" s="6">
        <v>5101</v>
      </c>
      <c r="K53" s="6">
        <v>0</v>
      </c>
      <c r="L53" s="6">
        <v>0</v>
      </c>
      <c r="M53" s="6">
        <v>353</v>
      </c>
      <c r="N53" s="2">
        <f t="shared" si="1"/>
        <v>99304</v>
      </c>
      <c r="O53" s="2"/>
      <c r="P53" s="2"/>
    </row>
    <row r="54" spans="1:33">
      <c r="A54" s="3">
        <v>2000</v>
      </c>
      <c r="B54" s="6">
        <v>615</v>
      </c>
      <c r="C54" s="6">
        <v>575</v>
      </c>
      <c r="D54" s="6">
        <v>7968</v>
      </c>
      <c r="E54" s="6">
        <v>9944</v>
      </c>
      <c r="F54" s="6">
        <v>3104</v>
      </c>
      <c r="G54" s="6">
        <v>38554</v>
      </c>
      <c r="H54" s="6">
        <v>54070</v>
      </c>
      <c r="I54" s="6">
        <v>51032</v>
      </c>
      <c r="J54" s="6">
        <v>366</v>
      </c>
      <c r="K54" s="6">
        <v>0</v>
      </c>
      <c r="L54" s="6">
        <v>0</v>
      </c>
      <c r="M54" s="6">
        <v>256</v>
      </c>
      <c r="N54" s="2">
        <f t="shared" si="1"/>
        <v>166484</v>
      </c>
      <c r="O54" s="2"/>
      <c r="P54" s="2"/>
    </row>
    <row r="55" spans="1:33">
      <c r="A55" s="3">
        <v>2001</v>
      </c>
      <c r="B55" s="6">
        <v>307</v>
      </c>
      <c r="C55" s="6">
        <v>278</v>
      </c>
      <c r="D55" s="6">
        <v>54</v>
      </c>
      <c r="E55" s="6">
        <v>0</v>
      </c>
      <c r="F55" s="6">
        <v>10</v>
      </c>
      <c r="G55" s="6">
        <v>9344</v>
      </c>
      <c r="H55" s="6">
        <v>34254</v>
      </c>
      <c r="I55" s="6">
        <v>37864</v>
      </c>
      <c r="J55" s="6">
        <v>4824</v>
      </c>
      <c r="K55" s="6">
        <v>0</v>
      </c>
      <c r="L55" s="6">
        <v>0</v>
      </c>
      <c r="M55" s="6">
        <v>411</v>
      </c>
      <c r="N55" s="2">
        <f t="shared" si="1"/>
        <v>87346</v>
      </c>
      <c r="O55" s="2"/>
      <c r="P55" s="2"/>
    </row>
    <row r="56" spans="1:33">
      <c r="A56" s="3">
        <v>2002</v>
      </c>
      <c r="B56" s="5">
        <v>615</v>
      </c>
      <c r="C56" s="5">
        <v>555</v>
      </c>
      <c r="D56" s="5">
        <v>24</v>
      </c>
      <c r="E56" s="5">
        <v>0</v>
      </c>
      <c r="F56" s="5">
        <v>0</v>
      </c>
      <c r="G56" s="5">
        <v>16766</v>
      </c>
      <c r="H56" s="5">
        <v>56302</v>
      </c>
      <c r="I56" s="5">
        <v>24256</v>
      </c>
      <c r="J56" s="5">
        <v>0</v>
      </c>
      <c r="K56" s="5">
        <v>0</v>
      </c>
      <c r="L56" s="5">
        <v>0</v>
      </c>
      <c r="M56" s="5">
        <v>0</v>
      </c>
      <c r="N56" s="2">
        <f t="shared" si="1"/>
        <v>98518</v>
      </c>
      <c r="O56" s="2"/>
      <c r="P56" s="2"/>
    </row>
    <row r="57" spans="1:33">
      <c r="A57" s="3">
        <v>2003</v>
      </c>
      <c r="B57" s="6">
        <v>0</v>
      </c>
      <c r="C57" s="6">
        <v>0</v>
      </c>
      <c r="D57" s="6">
        <v>0</v>
      </c>
      <c r="E57" s="6">
        <v>0</v>
      </c>
      <c r="F57" s="6">
        <v>0</v>
      </c>
      <c r="G57" s="6">
        <v>1490</v>
      </c>
      <c r="H57" s="6">
        <f>21609+9707+1444</f>
        <v>32760</v>
      </c>
      <c r="I57" s="6">
        <f>10488+5790+709</f>
        <v>16987</v>
      </c>
      <c r="J57" s="6">
        <v>0</v>
      </c>
      <c r="K57" s="6">
        <v>0</v>
      </c>
      <c r="L57" s="6">
        <v>0</v>
      </c>
      <c r="M57" s="6">
        <v>0</v>
      </c>
      <c r="N57" s="2">
        <f t="shared" si="1"/>
        <v>51237</v>
      </c>
      <c r="O57" s="2"/>
      <c r="P57" s="2"/>
    </row>
    <row r="58" spans="1:33">
      <c r="A58" s="3">
        <v>2004</v>
      </c>
      <c r="B58" s="7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2">
        <f t="shared" si="1"/>
        <v>0</v>
      </c>
      <c r="O58" s="2"/>
      <c r="P58" s="2"/>
    </row>
    <row r="59" spans="1:33">
      <c r="A59" s="3">
        <v>2005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f t="shared" si="1"/>
        <v>0</v>
      </c>
    </row>
    <row r="60" spans="1:33">
      <c r="A60" s="12">
        <v>2006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4457</v>
      </c>
      <c r="H60" s="1">
        <v>7823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f t="shared" si="1"/>
        <v>12280</v>
      </c>
    </row>
    <row r="61" spans="1:33">
      <c r="A61" s="13">
        <v>2007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2088</v>
      </c>
      <c r="H61" s="1">
        <v>12238</v>
      </c>
      <c r="I61" s="1">
        <v>6911</v>
      </c>
      <c r="J61" s="1">
        <v>0</v>
      </c>
      <c r="K61" s="1">
        <v>0</v>
      </c>
      <c r="L61" s="1">
        <v>0</v>
      </c>
      <c r="M61" s="1">
        <v>0</v>
      </c>
      <c r="N61" s="1">
        <f t="shared" si="1"/>
        <v>21237</v>
      </c>
    </row>
    <row r="62" spans="1:33">
      <c r="A62" s="12">
        <v>2008</v>
      </c>
      <c r="B62" s="1">
        <v>0</v>
      </c>
      <c r="C62" s="1">
        <v>0</v>
      </c>
      <c r="D62" s="1">
        <v>0</v>
      </c>
      <c r="E62" s="1">
        <v>0</v>
      </c>
      <c r="F62" s="1">
        <v>2955</v>
      </c>
      <c r="G62" s="1">
        <v>39595</v>
      </c>
      <c r="H62" s="1">
        <v>24972</v>
      </c>
      <c r="I62" s="1">
        <v>14908</v>
      </c>
      <c r="J62" s="1">
        <v>1502</v>
      </c>
      <c r="K62" s="1">
        <v>0</v>
      </c>
      <c r="L62" s="1">
        <v>24857</v>
      </c>
      <c r="M62" s="1">
        <v>6149</v>
      </c>
      <c r="N62" s="1">
        <f t="shared" si="1"/>
        <v>114938</v>
      </c>
    </row>
    <row r="63" spans="1:33">
      <c r="A63" s="12">
        <v>2009</v>
      </c>
      <c r="B63" s="1">
        <v>7553</v>
      </c>
      <c r="C63" s="1">
        <v>7323</v>
      </c>
      <c r="D63" s="1">
        <v>9094</v>
      </c>
      <c r="E63" s="1">
        <v>0</v>
      </c>
      <c r="F63" s="1">
        <v>4263</v>
      </c>
      <c r="G63" s="1">
        <v>11437</v>
      </c>
      <c r="H63" s="1">
        <v>23685</v>
      </c>
      <c r="I63" s="1">
        <v>22364</v>
      </c>
      <c r="J63" s="1">
        <v>2442</v>
      </c>
      <c r="K63" s="1">
        <v>0</v>
      </c>
      <c r="L63" s="1">
        <v>4927</v>
      </c>
      <c r="M63" s="1">
        <v>992</v>
      </c>
      <c r="N63" s="1">
        <f t="shared" si="1"/>
        <v>94080</v>
      </c>
    </row>
    <row r="64" spans="1:33">
      <c r="A64" s="13">
        <v>2010</v>
      </c>
      <c r="B64" s="1">
        <v>8943.6</v>
      </c>
      <c r="C64" s="1">
        <v>555</v>
      </c>
      <c r="D64" s="1">
        <v>33743.300000000003</v>
      </c>
      <c r="E64" s="1">
        <v>25803.4</v>
      </c>
      <c r="F64" s="1">
        <v>24529.9</v>
      </c>
      <c r="G64" s="1">
        <v>15108.3</v>
      </c>
      <c r="H64" s="1">
        <v>51289.5</v>
      </c>
      <c r="I64" s="1">
        <v>27218.6</v>
      </c>
      <c r="J64" s="1">
        <v>6862.9</v>
      </c>
      <c r="K64" s="1">
        <v>0</v>
      </c>
      <c r="L64" s="1">
        <v>0</v>
      </c>
      <c r="M64" s="1">
        <v>0</v>
      </c>
      <c r="N64" s="1">
        <f t="shared" si="1"/>
        <v>194054.5</v>
      </c>
    </row>
    <row r="65" spans="1:14">
      <c r="A65" s="13">
        <v>2011</v>
      </c>
      <c r="B65" s="1">
        <v>1773</v>
      </c>
      <c r="C65" s="1">
        <v>12839</v>
      </c>
      <c r="D65" s="1">
        <v>18587</v>
      </c>
      <c r="E65" s="1">
        <v>16652</v>
      </c>
      <c r="F65" s="1">
        <v>8384</v>
      </c>
      <c r="G65" s="1">
        <v>11439</v>
      </c>
      <c r="H65" s="1">
        <v>27097</v>
      </c>
      <c r="I65" s="1">
        <v>16336</v>
      </c>
      <c r="J65" s="1">
        <v>1535</v>
      </c>
      <c r="K65" s="1">
        <v>0</v>
      </c>
      <c r="L65" s="1">
        <v>1890</v>
      </c>
      <c r="M65" s="1">
        <v>4457</v>
      </c>
      <c r="N65" s="1">
        <f t="shared" si="1"/>
        <v>120989</v>
      </c>
    </row>
    <row r="66" spans="1:14">
      <c r="A66" s="13">
        <v>2012</v>
      </c>
      <c r="B66" s="1">
        <v>5986.2030000000004</v>
      </c>
      <c r="C66" s="1">
        <v>7457.96</v>
      </c>
      <c r="D66" s="1">
        <v>28534.631000000001</v>
      </c>
      <c r="E66" s="1">
        <v>12876.882</v>
      </c>
      <c r="F66" s="1">
        <v>5337.5985000000001</v>
      </c>
      <c r="G66" s="1">
        <v>24697.351900000001</v>
      </c>
      <c r="H66" s="1">
        <v>42350.244044999999</v>
      </c>
      <c r="I66" s="1">
        <v>32729.733500000002</v>
      </c>
      <c r="J66" s="1">
        <v>249.92099999999999</v>
      </c>
      <c r="K66" s="1">
        <v>0</v>
      </c>
      <c r="L66" s="1">
        <v>0</v>
      </c>
      <c r="M66" s="1">
        <v>0</v>
      </c>
      <c r="N66" s="1">
        <f t="shared" si="1"/>
        <v>160220.52494500001</v>
      </c>
    </row>
    <row r="67" spans="1:14">
      <c r="A67" s="13">
        <v>2013</v>
      </c>
      <c r="B67" s="1">
        <v>0</v>
      </c>
      <c r="C67" s="1">
        <v>0</v>
      </c>
      <c r="D67" s="1">
        <v>0</v>
      </c>
      <c r="E67" s="1">
        <v>0</v>
      </c>
      <c r="F67" s="1">
        <v>7765.4</v>
      </c>
      <c r="G67" s="1">
        <v>10018.700000000001</v>
      </c>
      <c r="H67" s="1">
        <v>25055.599999999999</v>
      </c>
      <c r="I67" s="1">
        <v>18218.400000000001</v>
      </c>
      <c r="J67" s="1">
        <v>4199</v>
      </c>
      <c r="K67" s="1">
        <v>0</v>
      </c>
      <c r="L67" s="1">
        <v>1377</v>
      </c>
      <c r="M67" s="1">
        <v>8721</v>
      </c>
      <c r="N67" s="1">
        <f t="shared" si="1"/>
        <v>75355.100000000006</v>
      </c>
    </row>
    <row r="68" spans="1:14">
      <c r="A68" s="13">
        <v>2014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901</v>
      </c>
      <c r="H68" s="1">
        <v>16876</v>
      </c>
      <c r="I68" s="1">
        <v>17368</v>
      </c>
      <c r="J68" s="1">
        <v>357</v>
      </c>
      <c r="K68" s="1">
        <v>0</v>
      </c>
      <c r="L68" s="1">
        <v>0</v>
      </c>
      <c r="M68" s="1">
        <v>0</v>
      </c>
      <c r="N68" s="1">
        <f t="shared" si="1"/>
        <v>35502</v>
      </c>
    </row>
    <row r="69" spans="1:14">
      <c r="A69" s="13">
        <v>2015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2729</v>
      </c>
      <c r="H69" s="1">
        <v>28340</v>
      </c>
      <c r="I69" s="1">
        <v>19363</v>
      </c>
      <c r="J69" s="1">
        <v>4070</v>
      </c>
      <c r="K69" s="1">
        <v>0</v>
      </c>
      <c r="L69" s="1">
        <v>0</v>
      </c>
      <c r="M69" s="1">
        <v>0</v>
      </c>
      <c r="N69" s="1">
        <f t="shared" si="1"/>
        <v>54502</v>
      </c>
    </row>
    <row r="70" spans="1:14">
      <c r="A70" s="13">
        <v>2016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14876</v>
      </c>
      <c r="H70" s="1">
        <v>25821</v>
      </c>
      <c r="I70" s="1">
        <v>21444</v>
      </c>
      <c r="J70" s="1">
        <v>1831</v>
      </c>
      <c r="K70" s="1">
        <v>0</v>
      </c>
      <c r="L70" s="1">
        <v>0</v>
      </c>
      <c r="M70" s="1">
        <v>0</v>
      </c>
      <c r="N70" s="1">
        <f t="shared" si="1"/>
        <v>63972</v>
      </c>
    </row>
    <row r="71" spans="1:14">
      <c r="A71" s="13">
        <v>2017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8061</v>
      </c>
      <c r="H71" s="1">
        <v>22269</v>
      </c>
      <c r="I71" s="1">
        <v>11265</v>
      </c>
      <c r="J71" s="1">
        <v>5560</v>
      </c>
      <c r="K71" s="1">
        <v>0</v>
      </c>
      <c r="L71" s="1">
        <v>0</v>
      </c>
      <c r="M71" s="1">
        <v>0</v>
      </c>
      <c r="N71" s="1">
        <f t="shared" si="1"/>
        <v>47155</v>
      </c>
    </row>
    <row r="72" spans="1:14">
      <c r="A72" s="13">
        <v>2018</v>
      </c>
      <c r="B72" s="1">
        <v>0</v>
      </c>
      <c r="C72" s="1">
        <v>0</v>
      </c>
      <c r="D72" s="1">
        <v>0</v>
      </c>
      <c r="E72" s="1">
        <v>0</v>
      </c>
      <c r="F72" s="1">
        <v>551</v>
      </c>
      <c r="G72" s="1">
        <v>12740</v>
      </c>
      <c r="H72" s="1">
        <v>25712</v>
      </c>
      <c r="I72" s="1">
        <v>13914</v>
      </c>
      <c r="J72" s="1">
        <v>534</v>
      </c>
      <c r="K72" s="1">
        <v>0</v>
      </c>
      <c r="L72" s="1">
        <v>0</v>
      </c>
      <c r="M72" s="1">
        <v>0</v>
      </c>
      <c r="N72" s="1">
        <f t="shared" ref="N72" si="2">SUM(B72:M72)</f>
        <v>53451</v>
      </c>
    </row>
    <row r="73" spans="1:14">
      <c r="A73" s="13">
        <v>2019</v>
      </c>
      <c r="B73" s="1">
        <v>0</v>
      </c>
      <c r="C73" s="1">
        <v>0</v>
      </c>
      <c r="D73" s="1">
        <v>2672</v>
      </c>
      <c r="E73" s="1">
        <v>5940</v>
      </c>
      <c r="F73" s="1">
        <v>8543</v>
      </c>
      <c r="G73" s="1">
        <v>13910</v>
      </c>
      <c r="H73" s="1">
        <v>20922</v>
      </c>
      <c r="I73" s="1">
        <v>56381</v>
      </c>
      <c r="J73" s="1">
        <v>22921</v>
      </c>
      <c r="K73" s="1">
        <v>15668</v>
      </c>
      <c r="L73" s="1">
        <v>65456</v>
      </c>
      <c r="M73" s="1">
        <v>60058</v>
      </c>
      <c r="N73" s="1">
        <f t="shared" ref="N73:N82" si="3">SUM(B73:M73)</f>
        <v>272471</v>
      </c>
    </row>
    <row r="74" spans="1:14">
      <c r="A74" s="1">
        <v>2020</v>
      </c>
      <c r="B74" s="1">
        <v>29419</v>
      </c>
      <c r="C74" s="1">
        <v>14839</v>
      </c>
      <c r="D74" s="1">
        <v>18447</v>
      </c>
      <c r="E74" s="1">
        <v>14144</v>
      </c>
      <c r="F74" s="1">
        <v>7498</v>
      </c>
      <c r="G74" s="1">
        <v>8452</v>
      </c>
      <c r="H74" s="1">
        <v>13752</v>
      </c>
      <c r="I74" s="1">
        <v>19040</v>
      </c>
      <c r="J74" s="1">
        <v>4477</v>
      </c>
      <c r="K74" s="1">
        <v>0</v>
      </c>
      <c r="L74" s="1">
        <v>0</v>
      </c>
      <c r="M74" s="1">
        <v>0</v>
      </c>
      <c r="N74" s="1">
        <f t="shared" si="3"/>
        <v>130068</v>
      </c>
    </row>
    <row r="75" spans="1:14">
      <c r="A75" s="1">
        <v>2021</v>
      </c>
      <c r="B75" s="1">
        <v>0</v>
      </c>
      <c r="C75" s="1">
        <v>0</v>
      </c>
      <c r="D75" s="1">
        <v>0</v>
      </c>
      <c r="E75" s="1">
        <v>7563</v>
      </c>
      <c r="F75" s="1">
        <v>19349</v>
      </c>
      <c r="G75" s="1">
        <v>27926</v>
      </c>
      <c r="H75" s="1">
        <v>24127</v>
      </c>
      <c r="I75" s="1">
        <v>2799</v>
      </c>
      <c r="J75" s="1">
        <v>2799</v>
      </c>
      <c r="K75" s="1">
        <v>0</v>
      </c>
      <c r="L75" s="1">
        <v>0</v>
      </c>
      <c r="M75" s="1">
        <v>0</v>
      </c>
      <c r="N75" s="1">
        <f t="shared" si="3"/>
        <v>84563</v>
      </c>
    </row>
    <row r="76" spans="1:14">
      <c r="A76" s="1">
        <v>2022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11877</v>
      </c>
      <c r="H76" s="1">
        <v>19760</v>
      </c>
      <c r="I76" s="1">
        <v>28400</v>
      </c>
      <c r="J76" s="1">
        <v>10128</v>
      </c>
      <c r="K76" s="1">
        <v>0</v>
      </c>
      <c r="L76" s="1">
        <v>0</v>
      </c>
      <c r="M76" s="1">
        <v>0</v>
      </c>
      <c r="N76" s="1">
        <f t="shared" ref="N76" si="4">SUM(B76:M76)</f>
        <v>70165</v>
      </c>
    </row>
    <row r="77" spans="1:14">
      <c r="A77" s="1">
        <v>2023</v>
      </c>
      <c r="B77" s="1">
        <v>0</v>
      </c>
      <c r="C77" s="1">
        <v>0</v>
      </c>
      <c r="D77" s="1">
        <v>0</v>
      </c>
      <c r="E77" s="1">
        <v>0</v>
      </c>
      <c r="F77" s="1">
        <v>266</v>
      </c>
      <c r="G77" s="1">
        <v>16037</v>
      </c>
      <c r="H77" s="1">
        <v>22862</v>
      </c>
      <c r="I77" s="1">
        <v>20718</v>
      </c>
      <c r="J77" s="1">
        <v>5185</v>
      </c>
      <c r="K77" s="1">
        <v>0</v>
      </c>
      <c r="L77" s="1">
        <v>0</v>
      </c>
      <c r="M77" s="1">
        <v>0</v>
      </c>
      <c r="N77" s="1">
        <f t="shared" si="3"/>
        <v>65068</v>
      </c>
    </row>
    <row r="78" spans="1:14">
      <c r="N78" s="1">
        <f t="shared" si="3"/>
        <v>0</v>
      </c>
    </row>
    <row r="79" spans="1:14">
      <c r="N79" s="1">
        <f t="shared" si="3"/>
        <v>0</v>
      </c>
    </row>
    <row r="80" spans="1:14">
      <c r="N80" s="1">
        <f t="shared" si="3"/>
        <v>0</v>
      </c>
    </row>
    <row r="81" spans="14:14">
      <c r="N81" s="1">
        <f t="shared" si="3"/>
        <v>0</v>
      </c>
    </row>
    <row r="82" spans="14:14">
      <c r="N82" s="1">
        <f t="shared" si="3"/>
        <v>0</v>
      </c>
    </row>
  </sheetData>
  <mergeCells count="2">
    <mergeCell ref="A2:N2"/>
    <mergeCell ref="A3:N3"/>
  </mergeCells>
  <phoneticPr fontId="0" type="noConversion"/>
  <pageMargins left="0.5" right="0.3" top="0.5" bottom="0.5" header="0" footer="0"/>
  <pageSetup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2017-02-07T16:19:57Z</cp:lastPrinted>
  <dcterms:created xsi:type="dcterms:W3CDTF">2003-02-12T17:16:45Z</dcterms:created>
  <dcterms:modified xsi:type="dcterms:W3CDTF">2024-01-10T14:40:32Z</dcterms:modified>
</cp:coreProperties>
</file>