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MWD\"/>
    </mc:Choice>
  </mc:AlternateContent>
  <xr:revisionPtr revIDLastSave="0" documentId="13_ncr:1_{AFBA0428-57C1-4FF3-8028-601A189D2881}" xr6:coauthVersionLast="47" xr6:coauthVersionMax="47" xr10:uidLastSave="{00000000-0000-0000-0000-000000000000}"/>
  <bookViews>
    <workbookView xWindow="-120" yWindow="-120" windowWidth="29040" windowHeight="15840" tabRatio="879" firstSheet="6" activeTab="13" xr2:uid="{00000000-000D-0000-FFFF-FFFF00000000}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irwin" sheetId="17" r:id="rId16"/>
    <sheet name="osb" sheetId="25" r:id="rId17"/>
    <sheet name="ks abov" sheetId="18" r:id="rId18"/>
    <sheet name="ks below" sheetId="19" r:id="rId19"/>
    <sheet name="ks-bost sum" sheetId="20" r:id="rId20"/>
    <sheet name="gln elder" sheetId="16" r:id="rId21"/>
    <sheet name="mirdan" sheetId="23" r:id="rId22"/>
    <sheet name="Fullerton" sheetId="15" r:id="rId23"/>
    <sheet name="twn lps sum" sheetId="30" r:id="rId24"/>
    <sheet name="ainsworth" sheetId="1" r:id="rId25"/>
    <sheet name="mir flts" sheetId="22" r:id="rId26"/>
  </sheets>
  <definedNames>
    <definedName name="_xlnm.Print_Area" localSheetId="20">'gln elder'!$A$1:$O$34</definedName>
    <definedName name="_xlnm.Print_Area">'culb ext 2'!$A$1:$O$40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4" l="1"/>
  <c r="J22" i="22"/>
  <c r="M28" i="22"/>
  <c r="J22" i="25"/>
  <c r="H22" i="3"/>
  <c r="C21" i="16" l="1"/>
  <c r="J28" i="16" l="1"/>
  <c r="F28" i="16"/>
  <c r="G28" i="16"/>
  <c r="H28" i="16"/>
  <c r="I28" i="16"/>
  <c r="C22" i="16"/>
  <c r="C23" i="16"/>
  <c r="C24" i="16"/>
  <c r="C25" i="16"/>
  <c r="G20" i="1" l="1"/>
  <c r="G21" i="14"/>
  <c r="E20" i="12" l="1"/>
  <c r="I28" i="21" l="1"/>
  <c r="K9" i="30"/>
  <c r="N22" i="25" l="1"/>
  <c r="C17" i="16" l="1"/>
  <c r="C18" i="16"/>
  <c r="C19" i="16"/>
  <c r="C20" i="16"/>
  <c r="C26" i="16"/>
  <c r="C27" i="16"/>
  <c r="C16" i="16"/>
  <c r="D17" i="4" l="1"/>
  <c r="D18" i="4"/>
  <c r="D19" i="4"/>
  <c r="D20" i="4"/>
  <c r="D21" i="4"/>
  <c r="D22" i="4"/>
  <c r="D23" i="4"/>
  <c r="D24" i="4"/>
  <c r="D25" i="4"/>
  <c r="D26" i="4"/>
  <c r="D27" i="4"/>
  <c r="C17" i="4"/>
  <c r="C18" i="4"/>
  <c r="C19" i="4"/>
  <c r="C20" i="4"/>
  <c r="C21" i="4"/>
  <c r="C22" i="4"/>
  <c r="C23" i="4"/>
  <c r="C24" i="4"/>
  <c r="C25" i="4"/>
  <c r="C26" i="4"/>
  <c r="C27" i="4"/>
  <c r="C16" i="4"/>
  <c r="D16" i="4"/>
  <c r="I17" i="4" l="1"/>
  <c r="I18" i="4"/>
  <c r="I19" i="4"/>
  <c r="I20" i="4"/>
  <c r="I21" i="4"/>
  <c r="I22" i="4"/>
  <c r="I23" i="4"/>
  <c r="I24" i="4"/>
  <c r="I25" i="4"/>
  <c r="I26" i="4"/>
  <c r="I27" i="4"/>
  <c r="I16" i="4"/>
  <c r="L17" i="12"/>
  <c r="L18" i="12"/>
  <c r="L19" i="12"/>
  <c r="L20" i="12"/>
  <c r="L21" i="12"/>
  <c r="L22" i="12"/>
  <c r="L23" i="12"/>
  <c r="L24" i="12"/>
  <c r="L25" i="12"/>
  <c r="L26" i="12"/>
  <c r="L27" i="12"/>
  <c r="L16" i="12"/>
  <c r="K17" i="12"/>
  <c r="K18" i="12"/>
  <c r="K19" i="12"/>
  <c r="K20" i="12"/>
  <c r="K21" i="12"/>
  <c r="K22" i="12"/>
  <c r="M22" i="12" s="1"/>
  <c r="K23" i="12"/>
  <c r="K24" i="12"/>
  <c r="K25" i="12"/>
  <c r="K26" i="12"/>
  <c r="K27" i="12"/>
  <c r="K16" i="12"/>
  <c r="I17" i="12"/>
  <c r="I18" i="12"/>
  <c r="I19" i="12"/>
  <c r="I20" i="12"/>
  <c r="I21" i="12"/>
  <c r="I22" i="12"/>
  <c r="I23" i="12"/>
  <c r="I24" i="12"/>
  <c r="I25" i="12"/>
  <c r="I26" i="12"/>
  <c r="I27" i="12"/>
  <c r="I16" i="12"/>
  <c r="F17" i="12"/>
  <c r="F18" i="12"/>
  <c r="F19" i="12"/>
  <c r="F20" i="12"/>
  <c r="F21" i="12"/>
  <c r="F22" i="12"/>
  <c r="F23" i="12"/>
  <c r="F24" i="12"/>
  <c r="F25" i="12"/>
  <c r="F26" i="12"/>
  <c r="F27" i="12"/>
  <c r="F16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D17" i="12"/>
  <c r="D18" i="12"/>
  <c r="D19" i="12"/>
  <c r="D20" i="12"/>
  <c r="D21" i="12"/>
  <c r="D22" i="12"/>
  <c r="D23" i="12"/>
  <c r="D24" i="12"/>
  <c r="D25" i="12"/>
  <c r="D26" i="12"/>
  <c r="D27" i="12"/>
  <c r="D16" i="12"/>
  <c r="C17" i="12"/>
  <c r="C18" i="12"/>
  <c r="C19" i="12"/>
  <c r="C20" i="12"/>
  <c r="C21" i="12"/>
  <c r="C22" i="12"/>
  <c r="C23" i="12"/>
  <c r="C24" i="12"/>
  <c r="C25" i="12"/>
  <c r="C26" i="12"/>
  <c r="C27" i="12"/>
  <c r="C16" i="12"/>
  <c r="I28" i="4" l="1"/>
  <c r="J17" i="18"/>
  <c r="J18" i="18"/>
  <c r="J19" i="18"/>
  <c r="J20" i="18"/>
  <c r="J21" i="18"/>
  <c r="J22" i="18"/>
  <c r="J23" i="18"/>
  <c r="J24" i="18"/>
  <c r="J25" i="18"/>
  <c r="J26" i="18"/>
  <c r="J27" i="18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K20" i="4"/>
  <c r="K21" i="4"/>
  <c r="K22" i="4"/>
  <c r="K23" i="4"/>
  <c r="K24" i="4"/>
  <c r="K25" i="4"/>
  <c r="K26" i="4"/>
  <c r="K27" i="4"/>
  <c r="K16" i="4"/>
  <c r="H17" i="4"/>
  <c r="H18" i="4"/>
  <c r="H19" i="4"/>
  <c r="H20" i="4"/>
  <c r="H21" i="4"/>
  <c r="H22" i="4"/>
  <c r="H23" i="4"/>
  <c r="H24" i="4"/>
  <c r="H25" i="4"/>
  <c r="H26" i="4"/>
  <c r="H27" i="4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J20" i="4" l="1"/>
  <c r="M20" i="4"/>
  <c r="M19" i="4"/>
  <c r="N19" i="4" s="1"/>
  <c r="M25" i="4"/>
  <c r="N25" i="4" s="1"/>
  <c r="J22" i="4"/>
  <c r="M22" i="4"/>
  <c r="N22" i="4" s="1"/>
  <c r="J25" i="4"/>
  <c r="J18" i="4"/>
  <c r="M26" i="4"/>
  <c r="N26" i="4" s="1"/>
  <c r="J27" i="4"/>
  <c r="J26" i="4"/>
  <c r="M17" i="4"/>
  <c r="N17" i="4" s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8" i="4"/>
  <c r="N20" i="4"/>
  <c r="M28" i="4" l="1"/>
  <c r="N28" i="4" s="1"/>
  <c r="N16" i="4"/>
  <c r="E29" i="4" l="1"/>
  <c r="E30" i="4"/>
  <c r="M29" i="4"/>
  <c r="M30" i="4"/>
  <c r="E21" i="23"/>
  <c r="D22" i="18" l="1"/>
  <c r="H20" i="5" l="1"/>
  <c r="J20" i="5" s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G16" i="2" s="1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G24" i="2" s="1"/>
  <c r="E25" i="2"/>
  <c r="G25" i="2" s="1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J27" i="7"/>
  <c r="E27" i="7"/>
  <c r="M26" i="7"/>
  <c r="N26" i="7" s="1"/>
  <c r="J26" i="7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J19" i="7"/>
  <c r="E19" i="7"/>
  <c r="M18" i="7"/>
  <c r="N18" i="7" s="1"/>
  <c r="J18" i="7"/>
  <c r="E18" i="7"/>
  <c r="M17" i="7"/>
  <c r="N17" i="7" s="1"/>
  <c r="J17" i="7"/>
  <c r="E17" i="7"/>
  <c r="G17" i="7" s="1"/>
  <c r="M16" i="7"/>
  <c r="J16" i="7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 s="1"/>
  <c r="M23" i="25"/>
  <c r="N23" i="25" s="1"/>
  <c r="J23" i="25"/>
  <c r="E23" i="25"/>
  <c r="G23" i="25" s="1"/>
  <c r="M22" i="25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G16" i="25" s="1"/>
  <c r="L28" i="21"/>
  <c r="L29" i="21" s="1"/>
  <c r="K28" i="21"/>
  <c r="K29" i="21" s="1"/>
  <c r="I29" i="2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 s="1"/>
  <c r="E16" i="5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J22" i="3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L28" i="14"/>
  <c r="L29" i="14" s="1"/>
  <c r="L28" i="29"/>
  <c r="L29" i="29" s="1"/>
  <c r="K28" i="14"/>
  <c r="K28" i="13"/>
  <c r="K29" i="13" s="1"/>
  <c r="K28" i="24"/>
  <c r="K29" i="24" s="1"/>
  <c r="K28" i="29"/>
  <c r="K29" i="29" s="1"/>
  <c r="H28" i="14"/>
  <c r="H29" i="14" s="1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N17" i="13" s="1"/>
  <c r="M18" i="13"/>
  <c r="N18" i="13" s="1"/>
  <c r="M19" i="13"/>
  <c r="N19" i="13" s="1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N25" i="29" s="1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D28" i="29"/>
  <c r="C28" i="29"/>
  <c r="J27" i="29"/>
  <c r="J26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N22" i="12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N21" i="26" s="1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J19" i="26" s="1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J26" i="26" s="1"/>
  <c r="H27" i="26"/>
  <c r="J27" i="26" s="1"/>
  <c r="I28" i="26"/>
  <c r="I29" i="26" s="1"/>
  <c r="F28" i="26"/>
  <c r="F29" i="26" s="1"/>
  <c r="D28" i="26"/>
  <c r="C28" i="26"/>
  <c r="B28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G25" i="17" s="1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J24" i="2"/>
  <c r="J21" i="2"/>
  <c r="J20" i="2"/>
  <c r="J19" i="2"/>
  <c r="N18" i="2"/>
  <c r="J18" i="2"/>
  <c r="J17" i="2"/>
  <c r="G17" i="2"/>
  <c r="J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 s="1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M17" i="18"/>
  <c r="N17" i="18" s="1"/>
  <c r="D18" i="18"/>
  <c r="E18" i="18" s="1"/>
  <c r="G18" i="18" s="1"/>
  <c r="M18" i="18"/>
  <c r="N18" i="18" s="1"/>
  <c r="D19" i="18"/>
  <c r="E19" i="18" s="1"/>
  <c r="B19" i="20" s="1"/>
  <c r="M19" i="18"/>
  <c r="N19" i="18" s="1"/>
  <c r="D20" i="18"/>
  <c r="E20" i="18" s="1"/>
  <c r="M20" i="18"/>
  <c r="N20" i="18" s="1"/>
  <c r="M21" i="18"/>
  <c r="N21" i="18" s="1"/>
  <c r="E22" i="18"/>
  <c r="M22" i="18"/>
  <c r="N22" i="18" s="1"/>
  <c r="M23" i="18"/>
  <c r="N23" i="18" s="1"/>
  <c r="M24" i="18"/>
  <c r="N24" i="18" s="1"/>
  <c r="M25" i="18"/>
  <c r="N25" i="18" s="1"/>
  <c r="M26" i="18"/>
  <c r="N26" i="18" s="1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M22" i="22"/>
  <c r="N22" i="22" s="1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J17" i="23"/>
  <c r="M17" i="23"/>
  <c r="N17" i="23" s="1"/>
  <c r="E18" i="23"/>
  <c r="G18" i="23" s="1"/>
  <c r="J18" i="23"/>
  <c r="M18" i="23"/>
  <c r="N18" i="23" s="1"/>
  <c r="E19" i="23"/>
  <c r="G19" i="23" s="1"/>
  <c r="J19" i="23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N16" i="5"/>
  <c r="G27" i="18" l="1"/>
  <c r="G16" i="5"/>
  <c r="J18" i="30"/>
  <c r="E18" i="30"/>
  <c r="E17" i="30"/>
  <c r="G16" i="3"/>
  <c r="J19" i="30"/>
  <c r="M18" i="30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9" i="22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E28" i="18" l="1"/>
  <c r="I30" i="18" s="1"/>
  <c r="N28" i="2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E22" i="20"/>
  <c r="G22" i="20" s="1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J30" i="18" l="1"/>
  <c r="M30" i="18"/>
  <c r="G28" i="18"/>
  <c r="G29" i="18" s="1"/>
  <c r="K30" i="18"/>
  <c r="H30" i="18"/>
  <c r="F30" i="18"/>
  <c r="E29" i="18"/>
  <c r="L30" i="18"/>
  <c r="E30" i="18"/>
  <c r="B28" i="20"/>
  <c r="G28" i="20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18" l="1"/>
  <c r="G30" i="30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  <c r="J28" i="4"/>
  <c r="J29" i="4" s="1"/>
  <c r="I30" i="4"/>
  <c r="I29" i="4"/>
  <c r="J3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tc={EEFA1B30-4E94-4735-AE76-68E5CBD78D20}</author>
    <author>tc={83D585FC-D68C-4B99-94A0-D0D619101683}</author>
  </authors>
  <commentList>
    <comment ref="B15" authorId="0" shapeId="0" xr:uid="{EEFA1B30-4E94-4735-AE76-68E5CBD78D20}">
      <text>
        <t>[Threaded comment]
Your version of Excel allows you to read this threaded comment; however, any edits to it will get removed if the file is opened in a newer version of Excel. Learn more: https://go.microsoft.com/fwlink/?linkid=870924
Comment:
    MDNE Hydromet ARC050</t>
      </text>
    </comment>
    <comment ref="D15" authorId="1" shapeId="0" xr:uid="{83D585FC-D68C-4B99-94A0-D0D619101683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BRAD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tc={7B843F56-E93D-49B0-9A8B-0DC2D114053E}</author>
  </authors>
  <commentList>
    <comment ref="C15" authorId="0" shapeId="0" xr:uid="{7B843F56-E93D-49B0-9A8B-0DC2D114053E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Brad, what's pumped from CDNE to BANE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tc={5E35086C-C864-4040-AE7A-8E75E7809FB2}</author>
    <author>tc={C24E5987-FE57-4D06-B186-67F1C2B940E6}</author>
  </authors>
  <commentList>
    <comment ref="B15" authorId="0" shapeId="0" xr:uid="{5E35086C-C864-4040-AE7A-8E75E7809FB2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bostwickworksheet</t>
      </text>
    </comment>
    <comment ref="K15" authorId="1" shapeId="0" xr:uid="{C24E5987-FE57-4D06-B186-67F1C2B940E6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district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tc={A5AFA238-920D-42B8-BD3F-DD82C4932D0B}</author>
  </authors>
  <commentList>
    <comment ref="D11" authorId="0" shapeId="0" xr:uid="{A5AFA238-920D-42B8-BD3F-DD82C4932D0B}">
      <text>
        <t>[Threaded comment]
Your version of Excel allows you to read this threaded comment; however, any edits to it will get removed if the file is opened in a newer version of Excel. Learn more: https://go.microsoft.com/fwlink/?linkid=870924
Comment:
    Row 10 from TL Water Use Worksheet</t>
      </text>
    </comment>
  </commentList>
</comments>
</file>

<file path=xl/sharedStrings.xml><?xml version="1.0" encoding="utf-8"?>
<sst xmlns="http://schemas.openxmlformats.org/spreadsheetml/2006/main" count="2607" uniqueCount="193">
  <si>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</si>
  <si>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</si>
  <si>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</si>
  <si>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</si>
  <si>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</si>
  <si>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</si>
  <si>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</si>
  <si>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</si>
  <si>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</si>
  <si>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</si>
  <si>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</si>
  <si>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</si>
  <si>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</si>
  <si>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</si>
  <si>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</si>
  <si>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</si>
  <si>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</si>
  <si>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</si>
  <si>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</si>
  <si>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</si>
  <si>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</si>
  <si>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</si>
  <si>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</si>
  <si>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</si>
  <si>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</si>
  <si>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</si>
  <si>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</si>
  <si>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</si>
  <si>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</si>
  <si>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</si>
  <si>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</si>
  <si>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</si>
  <si>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</si>
  <si>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</si>
  <si>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</si>
  <si>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</si>
  <si>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</si>
  <si>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</si>
  <si>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</si>
  <si>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</si>
  <si>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</si>
  <si>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</si>
  <si>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</si>
  <si>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</si>
  <si>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</si>
  <si>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</si>
  <si>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</si>
  <si>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</si>
  <si>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</si>
  <si>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</si>
  <si>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</si>
  <si>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</si>
  <si>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</si>
  <si>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</si>
  <si>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</si>
  <si>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</si>
  <si>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</si>
  <si>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</si>
  <si>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</si>
  <si>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</si>
  <si>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</si>
  <si>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</si>
  <si>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</si>
  <si>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</si>
  <si>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</si>
  <si>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</si>
  <si>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</si>
  <si>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</si>
  <si>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</si>
  <si>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</si>
  <si>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</si>
  <si>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</si>
  <si>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</si>
  <si>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</si>
  <si>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</si>
  <si>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</si>
  <si>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</si>
  <si>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</si>
  <si>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</si>
  <si>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</si>
  <si>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</si>
  <si>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</si>
  <si>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</si>
  <si>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</si>
  <si>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</si>
  <si>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</si>
  <si>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</si>
  <si>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</si>
  <si>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</si>
  <si>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</si>
  <si>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</si>
  <si>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</si>
  <si>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</si>
  <si>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</si>
  <si>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</si>
  <si>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</si>
  <si>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</si>
  <si>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</si>
  <si>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</si>
  <si>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</si>
  <si>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</si>
  <si>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</si>
  <si>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</si>
  <si>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</si>
  <si>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</si>
  <si>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</si>
  <si>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</si>
  <si>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</si>
  <si>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</si>
  <si>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</si>
  <si>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</si>
  <si>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</si>
  <si>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</si>
  <si>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</si>
  <si>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</si>
  <si>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</si>
  <si>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</si>
  <si>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</si>
  <si>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</si>
  <si>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</si>
  <si>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</si>
  <si>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</si>
  <si>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</si>
  <si>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</si>
  <si>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</si>
  <si>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</si>
  <si>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</si>
  <si>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</si>
  <si>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</si>
  <si>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</si>
  <si>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</si>
  <si>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</si>
  <si>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</si>
  <si>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</si>
  <si>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</si>
  <si>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</si>
  <si>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</si>
  <si>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</si>
  <si>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</si>
  <si>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</si>
  <si>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</si>
  <si>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</si>
  <si>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</si>
  <si>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</si>
  <si>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</si>
  <si>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</si>
  <si>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</si>
  <si>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</si>
  <si>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</si>
  <si>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</si>
  <si>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</si>
  <si>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</si>
  <si>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</si>
  <si>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</si>
  <si>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</si>
  <si>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</si>
  <si>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</si>
  <si>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</si>
  <si>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</si>
  <si>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</si>
  <si>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</si>
  <si>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</si>
  <si>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</si>
  <si>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</si>
  <si>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</si>
  <si>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</si>
  <si>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</si>
  <si>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</si>
  <si>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</si>
  <si>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</si>
  <si>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</si>
  <si>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</si>
  <si>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</si>
  <si>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</si>
  <si>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</si>
  <si>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</si>
  <si>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</si>
  <si>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</si>
  <si>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</si>
  <si>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</si>
  <si>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</si>
  <si>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</si>
  <si>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</si>
  <si>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</si>
  <si>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CULBERTSON EXTENSION 2</t>
  </si>
  <si>
    <t>Culbertson Extension 1</t>
  </si>
  <si>
    <t>non-district</t>
  </si>
  <si>
    <t>Conducted</t>
  </si>
  <si>
    <t xml:space="preserve">Bartley </t>
  </si>
  <si>
    <t>Canal*****</t>
  </si>
  <si>
    <t>Bartley</t>
  </si>
  <si>
    <t>Culbertson Extension Canal 1 was not in operation during the 2022 irrigation season.</t>
  </si>
  <si>
    <t>Culbertson Extension Canal 2 was not in operation during the 2022 irrigation season.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</si>
</sst>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8" fillId="0" borderId="1" xfId="0" applyNumberFormat="1" applyFont="1" applyBorder="1" applyAlignment="1" applyProtection="1">
      <alignment horizontal="left"/>
      <protection locked="0"/>
    </xf>
    <xf numFmtId="3" fontId="18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3" fontId="19" fillId="0" borderId="1" xfId="0" applyNumberFormat="1" applyFont="1" applyBorder="1" applyAlignment="1" applyProtection="1">
      <alignment horizontal="right"/>
      <protection locked="0"/>
    </xf>
    <xf numFmtId="0" fontId="19" fillId="0" borderId="1" xfId="0" applyNumberFormat="1" applyFont="1" applyBorder="1" applyAlignment="1" applyProtection="1">
      <protection locked="0"/>
    </xf>
    <xf numFmtId="3" fontId="19" fillId="0" borderId="5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6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9" fillId="0" borderId="1" xfId="0" applyNumberFormat="1" applyFont="1" applyBorder="1" applyAlignment="1" applyProtection="1">
      <alignment horizontal="left"/>
      <protection locked="0"/>
    </xf>
    <xf numFmtId="0" fontId="19" fillId="0" borderId="1" xfId="0" applyNumberFormat="1" applyFont="1" applyBorder="1" applyAlignment="1" applyProtection="1">
      <alignment horizontal="left"/>
      <protection locked="0"/>
    </xf>
    <xf numFmtId="3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19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9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6" fontId="22" fillId="0" borderId="1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Fill="1" applyBorder="1" applyAlignment="1" applyProtection="1">
      <alignment horizontal="left"/>
      <protection locked="0"/>
    </xf>
    <xf numFmtId="3" fontId="22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3" fontId="2" fillId="0" borderId="5" xfId="0" applyNumberFormat="1" applyFont="1" applyFill="1" applyBorder="1" applyAlignment="1">
      <alignment horizontal="left"/>
    </xf>
    <xf numFmtId="3" fontId="22" fillId="0" borderId="1" xfId="0" applyNumberFormat="1" applyFont="1" applyBorder="1" applyAlignment="1">
      <alignment horizontal="right"/>
    </xf>
    <xf numFmtId="0" fontId="23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24" fillId="0" borderId="1" xfId="0" applyFont="1" applyBorder="1" applyAlignment="1">
      <alignment horizontal="left"/>
    </xf>
    <xf numFmtId="3" fontId="25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6" fillId="0" borderId="0" xfId="0" applyFont="1" applyAlignment="1"/>
    <xf numFmtId="0" fontId="13" fillId="0" borderId="0" xfId="0" applyFont="1" applyAlignment="1"/>
    <xf numFmtId="0" fontId="26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7" fillId="0" borderId="0" xfId="0" applyFont="1" applyAlignment="1"/>
    <xf numFmtId="0" fontId="1" fillId="0" borderId="10" xfId="0" applyNumberFormat="1" applyFont="1" applyBorder="1" applyAlignment="1">
      <alignment horizontal="left"/>
    </xf>
    <xf numFmtId="3" fontId="22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3" fontId="29" fillId="0" borderId="11" xfId="0" applyNumberFormat="1" applyFont="1" applyBorder="1" applyAlignment="1">
      <alignment horizontal="left"/>
    </xf>
    <xf numFmtId="0" fontId="31" fillId="0" borderId="0" xfId="0" applyNumberFormat="1" applyFont="1" applyAlignment="1"/>
    <xf numFmtId="0" fontId="30" fillId="0" borderId="0" xfId="0" applyFont="1" applyAlignment="1"/>
    <xf numFmtId="9" fontId="24" fillId="0" borderId="0" xfId="0" applyNumberFormat="1" applyFont="1" applyAlignment="1"/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22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  <xf numFmtId="0" fontId="22" fillId="0" borderId="14" xfId="0" applyFont="1" applyBorder="1" applyAlignment="1">
      <alignment horizontal="left"/>
    </xf>
    <xf numFmtId="3" fontId="22" fillId="0" borderId="14" xfId="0" applyNumberFormat="1" applyFont="1" applyBorder="1" applyAlignment="1">
      <alignment horizontal="left"/>
    </xf>
    <xf numFmtId="3" fontId="19" fillId="2" borderId="1" xfId="0" applyNumberFormat="1" applyFont="1" applyFill="1" applyBorder="1" applyAlignment="1" applyProtection="1">
      <alignment horizontal="right"/>
      <protection locked="0"/>
    </xf>
    <xf numFmtId="3" fontId="1" fillId="0" borderId="5" xfId="0" applyNumberFormat="1" applyFont="1" applyFill="1" applyBorder="1" applyAlignment="1" applyProtection="1">
      <alignment horizontal="left"/>
      <protection locked="0"/>
    </xf>
    <xf numFmtId="3" fontId="1" fillId="0" borderId="6" xfId="0" applyNumberFormat="1" applyFont="1" applyBorder="1" applyAlignment="1">
      <alignment horizontal="left"/>
    </xf>
    <xf numFmtId="3" fontId="19" fillId="0" borderId="5" xfId="0" applyNumberFormat="1" applyFont="1" applyFill="1" applyBorder="1" applyAlignment="1">
      <alignment horizontal="left"/>
    </xf>
    <xf numFmtId="3" fontId="16" fillId="0" borderId="5" xfId="0" applyNumberFormat="1" applyFont="1" applyFill="1" applyBorder="1" applyAlignment="1">
      <alignment horizontal="left"/>
    </xf>
    <xf numFmtId="0" fontId="19" fillId="0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533400</xdr:colOff>
      <xdr:row>17</xdr:row>
      <xdr:rowOff>95250</xdr:rowOff>
    </xdr:from>
    <xdr:ext cx="95250" cy="24327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48AF0B9-C670-490B-93C5-AA85011315C9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533400</xdr:colOff>
      <xdr:row>17</xdr:row>
      <xdr:rowOff>95250</xdr:rowOff>
    </xdr:from>
    <xdr:ext cx="95250" cy="24327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2F60EAB-B640-4949-AB4F-CE6D63A61700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533400</xdr:colOff>
      <xdr:row>17</xdr:row>
      <xdr:rowOff>95250</xdr:rowOff>
    </xdr:from>
    <xdr:ext cx="95250" cy="24327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C97BA061-6004-4617-9784-836183BD99D6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533400</xdr:colOff>
      <xdr:row>17</xdr:row>
      <xdr:rowOff>95250</xdr:rowOff>
    </xdr:from>
    <xdr:ext cx="95250" cy="243270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62C02A5-B601-4F1F-A24F-71CED85E4BE5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2956489-8196-469E-A599-89F557DFA4CD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4A14C47-CA42-46D8-8120-A2AB305E24E6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21D50AF4-DE2B-4763-9EB9-13A422AB72F2}"/>
            </a:ext>
          </a:extLst>
        </xdr:cNvPr>
        <xdr:cNvSpPr txBox="1">
          <a:spLocks noChangeArrowheads="1"/>
        </xdr:cNvSpPr>
      </xdr:nvSpPr>
      <xdr:spPr bwMode="auto">
        <a:xfrm>
          <a:off x="79914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C82C12FB-B198-4FDD-ABB6-EC6B150D6439}"/>
            </a:ext>
          </a:extLst>
        </xdr:cNvPr>
        <xdr:cNvSpPr txBox="1">
          <a:spLocks noChangeArrowheads="1"/>
        </xdr:cNvSpPr>
      </xdr:nvSpPr>
      <xdr:spPr bwMode="auto">
        <a:xfrm>
          <a:off x="79914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11</xdr:col>
      <xdr:colOff>533400</xdr:colOff>
      <xdr:row>17</xdr:row>
      <xdr:rowOff>95250</xdr:rowOff>
    </xdr:from>
    <xdr:ext cx="95250" cy="24327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92D7A8D-9CC0-4B4E-BB0D-EB8B0BC9D31B}"/>
            </a:ext>
          </a:extLst>
        </xdr:cNvPr>
        <xdr:cNvSpPr txBox="1">
          <a:spLocks noChangeArrowheads="1"/>
        </xdr:cNvSpPr>
      </xdr:nvSpPr>
      <xdr:spPr bwMode="auto">
        <a:xfrm>
          <a:off x="7835900" y="3784819"/>
          <a:ext cx="95250" cy="243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rgan, Miles D" id="{94845D5B-C029-4776-98B2-3FF8B916996D}" userId="S::mmorgan@usbr.gov::97eedfd1-7574-4bea-95cd-851702767965" providerId="AD"/>
  <person displayName="Brewster, David J" id="{292B5AD3-4CDF-4851-90D7-9D8D94A83865}" userId="S::dbrewster@usbr.gov::7b44c8f7-30b9-4745-ab6c-1dde14657e2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dT="2022-09-27T19:11:28.27" personId="{94845D5B-C029-4776-98B2-3FF8B916996D}" id="{EEFA1B30-4E94-4735-AE76-68E5CBD78D20}">
    <text>MDNE Hydromet ARC050</text>
  </threadedComment>
  <threadedComment ref="D15" dT="2022-09-27T19:11:14.78" personId="{94845D5B-C029-4776-98B2-3FF8B916996D}" id="{83D585FC-D68C-4B99-94A0-D0D619101683}">
    <text>From BRAD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5" dT="2022-09-27T19:26:56.86" personId="{94845D5B-C029-4776-98B2-3FF8B916996D}" id="{7B843F56-E93D-49B0-9A8B-0DC2D114053E}">
    <text>From Brad, what's pumped from CDNE to BANE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5" dT="2022-05-05T11:37:04.91" personId="{94845D5B-C029-4776-98B2-3FF8B916996D}" id="{5E35086C-C864-4040-AE7A-8E75E7809FB2}">
    <text>from bostwickworksheet</text>
  </threadedComment>
  <threadedComment ref="K15" dT="2022-05-05T11:37:13.13" personId="{94845D5B-C029-4776-98B2-3FF8B916996D}" id="{C24E5987-FE57-4D06-B186-67F1C2B940E6}">
    <text>from district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11" dT="2022-12-21T16:08:55.43" personId="{292B5AD3-4CDF-4851-90D7-9D8D94A83865}" id="{A5AFA238-920D-42B8-BD3F-DD82C4932D0B}">
    <text>Row 10 from TL Water Use Worksheet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2.bin"/><Relationship Id="rId4" Type="http://schemas.microsoft.com/office/2017/10/relationships/threadedComment" Target="../threadedComments/threadedComment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OutlineSymbols="0" zoomScale="87" zoomScaleNormal="87" workbookViewId="0">
      <selection activeCell="Q22" sqref="Q22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5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8">
        <v>140</v>
      </c>
      <c r="L9" s="11"/>
      <c r="M9" s="10" t="s">
        <v>77</v>
      </c>
      <c r="N9" s="119">
        <v>2022</v>
      </c>
    </row>
    <row r="10" spans="1:15" ht="18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 s="78" customFormat="1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 s="78" customFormat="1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 s="78" customFormat="1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s="78" customFormat="1" ht="15.75" thickBot="1">
      <c r="A15" s="114"/>
      <c r="B15" s="114" t="s">
        <v>32</v>
      </c>
      <c r="C15" s="114" t="s">
        <v>40</v>
      </c>
      <c r="D15" s="114" t="s">
        <v>32</v>
      </c>
      <c r="E15" s="114"/>
      <c r="F15" s="114" t="s">
        <v>55</v>
      </c>
      <c r="G15" s="114" t="s">
        <v>60</v>
      </c>
      <c r="H15" s="114" t="s">
        <v>62</v>
      </c>
      <c r="I15" s="115"/>
      <c r="J15" s="114"/>
      <c r="K15" s="114" t="s">
        <v>74</v>
      </c>
      <c r="L15" s="114" t="s">
        <v>76</v>
      </c>
      <c r="M15" s="116" t="s">
        <v>21</v>
      </c>
      <c r="N15" s="117" t="s">
        <v>81</v>
      </c>
      <c r="O15" s="85"/>
    </row>
    <row r="16" spans="1:15" s="78" customFormat="1">
      <c r="A16" s="139" t="s">
        <v>9</v>
      </c>
      <c r="B16" s="110">
        <v>0</v>
      </c>
      <c r="C16" s="140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10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55">
        <f t="shared" ref="M16:M27" si="3">SUM(K16:L16)</f>
        <v>0</v>
      </c>
      <c r="N16" s="156">
        <f t="shared" ref="N16:N28" si="4">ROUND(+M16/$K$9,3)</f>
        <v>0</v>
      </c>
      <c r="O16" s="17"/>
    </row>
    <row r="17" spans="1:15" s="78" customFormat="1">
      <c r="A17" s="139" t="s">
        <v>10</v>
      </c>
      <c r="B17" s="110">
        <v>0</v>
      </c>
      <c r="C17" s="140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10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55">
        <f t="shared" si="3"/>
        <v>0</v>
      </c>
      <c r="N17" s="156">
        <f t="shared" si="4"/>
        <v>0</v>
      </c>
      <c r="O17" s="17"/>
    </row>
    <row r="18" spans="1:15" s="78" customFormat="1">
      <c r="A18" s="139" t="s">
        <v>11</v>
      </c>
      <c r="B18" s="110">
        <v>0</v>
      </c>
      <c r="C18" s="140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10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55">
        <f t="shared" si="3"/>
        <v>0</v>
      </c>
      <c r="N18" s="156">
        <f t="shared" si="4"/>
        <v>0</v>
      </c>
      <c r="O18" s="17"/>
    </row>
    <row r="19" spans="1:15" s="78" customFormat="1">
      <c r="A19" s="139" t="s">
        <v>12</v>
      </c>
      <c r="B19" s="110">
        <v>0</v>
      </c>
      <c r="C19" s="140">
        <v>0</v>
      </c>
      <c r="D19" s="140">
        <v>0</v>
      </c>
      <c r="E19" s="141">
        <f t="shared" si="0"/>
        <v>0</v>
      </c>
      <c r="F19" s="110">
        <v>0</v>
      </c>
      <c r="G19" s="141">
        <f t="shared" si="1"/>
        <v>0</v>
      </c>
      <c r="H19" s="110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55">
        <f t="shared" si="3"/>
        <v>0</v>
      </c>
      <c r="N19" s="156">
        <f t="shared" si="4"/>
        <v>0</v>
      </c>
      <c r="O19" s="17"/>
    </row>
    <row r="20" spans="1:15" s="78" customFormat="1">
      <c r="A20" s="139" t="s">
        <v>13</v>
      </c>
      <c r="B20" s="110">
        <v>1391</v>
      </c>
      <c r="C20" s="140">
        <v>0</v>
      </c>
      <c r="D20" s="140">
        <v>0</v>
      </c>
      <c r="E20" s="141">
        <f t="shared" si="0"/>
        <v>1391</v>
      </c>
      <c r="F20" s="110">
        <v>0</v>
      </c>
      <c r="G20" s="141">
        <f t="shared" si="1"/>
        <v>1391</v>
      </c>
      <c r="H20" s="110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55">
        <f t="shared" si="3"/>
        <v>0</v>
      </c>
      <c r="N20" s="156">
        <f t="shared" si="4"/>
        <v>0</v>
      </c>
      <c r="O20" s="17"/>
    </row>
    <row r="21" spans="1:15" s="78" customFormat="1">
      <c r="A21" s="139" t="s">
        <v>14</v>
      </c>
      <c r="B21" s="110">
        <v>1201</v>
      </c>
      <c r="C21" s="140">
        <v>0</v>
      </c>
      <c r="D21" s="140">
        <v>0</v>
      </c>
      <c r="E21" s="141">
        <f t="shared" si="0"/>
        <v>1201</v>
      </c>
      <c r="F21" s="110">
        <v>0</v>
      </c>
      <c r="G21" s="141">
        <f t="shared" si="1"/>
        <v>1110</v>
      </c>
      <c r="H21" s="110">
        <v>91</v>
      </c>
      <c r="I21" s="110">
        <v>0</v>
      </c>
      <c r="J21" s="141">
        <f t="shared" si="2"/>
        <v>89</v>
      </c>
      <c r="K21" s="110">
        <v>0</v>
      </c>
      <c r="L21" s="110">
        <v>2</v>
      </c>
      <c r="M21" s="155">
        <f t="shared" si="3"/>
        <v>2</v>
      </c>
      <c r="N21" s="156">
        <f t="shared" si="4"/>
        <v>1.4E-2</v>
      </c>
      <c r="O21" s="17"/>
    </row>
    <row r="22" spans="1:15" s="78" customFormat="1">
      <c r="A22" s="139" t="s">
        <v>15</v>
      </c>
      <c r="B22" s="110">
        <v>447</v>
      </c>
      <c r="C22" s="140">
        <v>0</v>
      </c>
      <c r="D22" s="140">
        <v>0</v>
      </c>
      <c r="E22" s="141">
        <f t="shared" si="0"/>
        <v>447</v>
      </c>
      <c r="F22" s="179">
        <v>0</v>
      </c>
      <c r="G22" s="215">
        <f t="shared" si="1"/>
        <v>371</v>
      </c>
      <c r="H22" s="179">
        <v>76</v>
      </c>
      <c r="I22" s="179">
        <v>0</v>
      </c>
      <c r="J22" s="215">
        <f t="shared" si="2"/>
        <v>55</v>
      </c>
      <c r="K22" s="179">
        <v>0</v>
      </c>
      <c r="L22" s="179">
        <v>21</v>
      </c>
      <c r="M22" s="155">
        <f t="shared" si="3"/>
        <v>21</v>
      </c>
      <c r="N22" s="156">
        <f t="shared" si="4"/>
        <v>0.15</v>
      </c>
      <c r="O22" s="17"/>
    </row>
    <row r="23" spans="1:15" s="78" customFormat="1">
      <c r="A23" s="139" t="s">
        <v>16</v>
      </c>
      <c r="B23" s="110">
        <v>258</v>
      </c>
      <c r="C23" s="140">
        <v>0</v>
      </c>
      <c r="D23" s="140">
        <v>0</v>
      </c>
      <c r="E23" s="141">
        <f t="shared" si="0"/>
        <v>258</v>
      </c>
      <c r="F23" s="179">
        <v>0</v>
      </c>
      <c r="G23" s="215">
        <f t="shared" si="1"/>
        <v>258</v>
      </c>
      <c r="H23" s="179">
        <v>0</v>
      </c>
      <c r="I23" s="179">
        <v>0</v>
      </c>
      <c r="J23" s="215">
        <f t="shared" si="2"/>
        <v>0</v>
      </c>
      <c r="K23" s="179">
        <v>0</v>
      </c>
      <c r="L23" s="179">
        <v>0</v>
      </c>
      <c r="M23" s="155">
        <f t="shared" si="3"/>
        <v>0</v>
      </c>
      <c r="N23" s="156">
        <f t="shared" si="4"/>
        <v>0</v>
      </c>
      <c r="O23" s="17"/>
    </row>
    <row r="24" spans="1:15" s="78" customFormat="1">
      <c r="A24" s="139" t="s">
        <v>17</v>
      </c>
      <c r="B24" s="179">
        <v>278</v>
      </c>
      <c r="C24" s="140">
        <v>0</v>
      </c>
      <c r="D24" s="140">
        <v>0</v>
      </c>
      <c r="E24" s="141">
        <f t="shared" si="0"/>
        <v>278</v>
      </c>
      <c r="F24" s="179">
        <v>0</v>
      </c>
      <c r="G24" s="215">
        <f t="shared" si="1"/>
        <v>278</v>
      </c>
      <c r="H24" s="179">
        <v>0</v>
      </c>
      <c r="I24" s="179">
        <v>0</v>
      </c>
      <c r="J24" s="215">
        <f t="shared" si="2"/>
        <v>0</v>
      </c>
      <c r="K24" s="179">
        <v>0</v>
      </c>
      <c r="L24" s="179">
        <v>0</v>
      </c>
      <c r="M24" s="155">
        <f t="shared" si="3"/>
        <v>0</v>
      </c>
      <c r="N24" s="156">
        <f t="shared" si="4"/>
        <v>0</v>
      </c>
      <c r="O24" s="17"/>
    </row>
    <row r="25" spans="1:15" s="78" customFormat="1">
      <c r="A25" s="139" t="s">
        <v>18</v>
      </c>
      <c r="B25" s="179">
        <v>213</v>
      </c>
      <c r="C25" s="140">
        <v>0</v>
      </c>
      <c r="D25" s="140">
        <v>0</v>
      </c>
      <c r="E25" s="141">
        <f t="shared" si="0"/>
        <v>213</v>
      </c>
      <c r="F25" s="179">
        <v>0</v>
      </c>
      <c r="G25" s="215">
        <f t="shared" si="1"/>
        <v>213</v>
      </c>
      <c r="H25" s="179">
        <v>0</v>
      </c>
      <c r="I25" s="179">
        <v>0</v>
      </c>
      <c r="J25" s="215">
        <f t="shared" si="2"/>
        <v>0</v>
      </c>
      <c r="K25" s="179">
        <v>0</v>
      </c>
      <c r="L25" s="179">
        <v>0</v>
      </c>
      <c r="M25" s="155">
        <f t="shared" si="3"/>
        <v>0</v>
      </c>
      <c r="N25" s="156">
        <f t="shared" si="4"/>
        <v>0</v>
      </c>
      <c r="O25" s="17"/>
    </row>
    <row r="26" spans="1:15" s="78" customFormat="1">
      <c r="A26" s="139" t="s">
        <v>19</v>
      </c>
      <c r="B26" s="110">
        <v>0</v>
      </c>
      <c r="C26" s="140">
        <v>0</v>
      </c>
      <c r="D26" s="140">
        <v>0</v>
      </c>
      <c r="E26" s="141">
        <f t="shared" si="0"/>
        <v>0</v>
      </c>
      <c r="F26" s="179">
        <v>0</v>
      </c>
      <c r="G26" s="215">
        <f t="shared" si="1"/>
        <v>0</v>
      </c>
      <c r="H26" s="179">
        <v>0</v>
      </c>
      <c r="I26" s="179">
        <v>0</v>
      </c>
      <c r="J26" s="215">
        <f t="shared" si="2"/>
        <v>0</v>
      </c>
      <c r="K26" s="179">
        <v>0</v>
      </c>
      <c r="L26" s="179">
        <v>0</v>
      </c>
      <c r="M26" s="155">
        <f t="shared" si="3"/>
        <v>0</v>
      </c>
      <c r="N26" s="156">
        <f t="shared" si="4"/>
        <v>0</v>
      </c>
      <c r="O26" s="17"/>
    </row>
    <row r="27" spans="1:15" s="78" customFormat="1">
      <c r="A27" s="139" t="s">
        <v>20</v>
      </c>
      <c r="B27" s="110">
        <v>0</v>
      </c>
      <c r="C27" s="140">
        <v>0</v>
      </c>
      <c r="D27" s="140">
        <v>0</v>
      </c>
      <c r="E27" s="141">
        <f t="shared" si="0"/>
        <v>0</v>
      </c>
      <c r="F27" s="179">
        <v>0</v>
      </c>
      <c r="G27" s="215">
        <f t="shared" si="1"/>
        <v>0</v>
      </c>
      <c r="H27" s="179">
        <v>0</v>
      </c>
      <c r="I27" s="179">
        <v>0</v>
      </c>
      <c r="J27" s="215">
        <f t="shared" si="2"/>
        <v>0</v>
      </c>
      <c r="K27" s="179">
        <v>0</v>
      </c>
      <c r="L27" s="179">
        <v>0</v>
      </c>
      <c r="M27" s="155">
        <f t="shared" si="3"/>
        <v>0</v>
      </c>
      <c r="N27" s="156">
        <f t="shared" si="4"/>
        <v>0</v>
      </c>
      <c r="O27" s="17"/>
    </row>
    <row r="28" spans="1:15" s="78" customFormat="1" ht="15.75" thickBot="1">
      <c r="A28" s="139" t="s">
        <v>21</v>
      </c>
      <c r="B28" s="157">
        <f>SUM(B16:B27)</f>
        <v>3788</v>
      </c>
      <c r="C28" s="157">
        <f>SUM(C16:C27)</f>
        <v>0</v>
      </c>
      <c r="D28" s="157">
        <f>SUM(D16:D27)</f>
        <v>0</v>
      </c>
      <c r="E28" s="157">
        <f>SUM(E16:E27)</f>
        <v>3788</v>
      </c>
      <c r="F28" s="157">
        <f>SUM(F16:F27)</f>
        <v>0</v>
      </c>
      <c r="G28" s="157">
        <f t="shared" si="1"/>
        <v>3621</v>
      </c>
      <c r="H28" s="157">
        <f>SUM(H16:H27)</f>
        <v>167</v>
      </c>
      <c r="I28" s="157">
        <f>SUM(I16:I27)</f>
        <v>0</v>
      </c>
      <c r="J28" s="157">
        <f t="shared" si="2"/>
        <v>144</v>
      </c>
      <c r="K28" s="157">
        <f>SUM(K16:K27)</f>
        <v>0</v>
      </c>
      <c r="L28" s="157">
        <f>SUM(L16:L27)</f>
        <v>23</v>
      </c>
      <c r="M28" s="158">
        <f>SUM(M16:M27)</f>
        <v>23</v>
      </c>
      <c r="N28" s="159">
        <f t="shared" si="4"/>
        <v>0.16400000000000001</v>
      </c>
      <c r="O28" s="17"/>
    </row>
    <row r="29" spans="1:15" s="78" customFormat="1" ht="15.75" thickTop="1">
      <c r="A29" s="137" t="s">
        <v>22</v>
      </c>
      <c r="B29" s="160"/>
      <c r="C29" s="160"/>
      <c r="D29" s="160"/>
      <c r="E29" s="160">
        <f t="shared" ref="E29:M29" si="5">ROUND(+E28/$K$9,2)</f>
        <v>27.06</v>
      </c>
      <c r="F29" s="160">
        <f t="shared" si="5"/>
        <v>0</v>
      </c>
      <c r="G29" s="160">
        <f t="shared" si="5"/>
        <v>25.86</v>
      </c>
      <c r="H29" s="160">
        <f t="shared" si="5"/>
        <v>1.19</v>
      </c>
      <c r="I29" s="160">
        <f t="shared" si="5"/>
        <v>0</v>
      </c>
      <c r="J29" s="160">
        <f t="shared" si="5"/>
        <v>1.03</v>
      </c>
      <c r="K29" s="160">
        <f t="shared" si="5"/>
        <v>0</v>
      </c>
      <c r="L29" s="160">
        <f t="shared" si="5"/>
        <v>0.16</v>
      </c>
      <c r="M29" s="161">
        <f t="shared" si="5"/>
        <v>0.16</v>
      </c>
      <c r="N29" s="162"/>
      <c r="O29" s="17"/>
    </row>
    <row r="30" spans="1:15" s="78" customFormat="1" ht="15.75" thickBot="1">
      <c r="A30" s="139" t="s">
        <v>23</v>
      </c>
      <c r="B30" s="163"/>
      <c r="C30" s="144"/>
      <c r="D30" s="144"/>
      <c r="E30" s="144">
        <f t="shared" ref="E30:M30" si="6">E28/$E$28*100</f>
        <v>100</v>
      </c>
      <c r="F30" s="144">
        <f t="shared" si="6"/>
        <v>0</v>
      </c>
      <c r="G30" s="144">
        <f t="shared" si="6"/>
        <v>95.591341077085531</v>
      </c>
      <c r="H30" s="144">
        <f t="shared" si="6"/>
        <v>4.4086589229144666</v>
      </c>
      <c r="I30" s="144">
        <f t="shared" si="6"/>
        <v>0</v>
      </c>
      <c r="J30" s="144">
        <f t="shared" si="6"/>
        <v>3.8014783526927136</v>
      </c>
      <c r="K30" s="144">
        <f t="shared" si="6"/>
        <v>0</v>
      </c>
      <c r="L30" s="144">
        <f t="shared" si="6"/>
        <v>0.60718057022175298</v>
      </c>
      <c r="M30" s="164">
        <f t="shared" si="6"/>
        <v>0.60718057022175298</v>
      </c>
      <c r="N30" s="156"/>
      <c r="O30" s="17"/>
    </row>
    <row r="31" spans="1:15" s="78" customFormat="1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  <c r="O31" s="1"/>
    </row>
    <row r="32" spans="1:15" s="78" customFormat="1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"/>
      <c r="N32" s="1"/>
      <c r="O32" s="1"/>
    </row>
    <row r="33" spans="1:15" s="78" customFormat="1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"/>
      <c r="N33" s="1"/>
      <c r="O33" s="1"/>
    </row>
    <row r="34" spans="1:15" s="78" customFormat="1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"/>
      <c r="N34" s="1"/>
      <c r="O34" s="1"/>
    </row>
    <row r="35" spans="1:15" s="78" customFormat="1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"/>
      <c r="N35" s="1"/>
      <c r="O35" s="1"/>
    </row>
    <row r="36" spans="1:15" s="78" customFormat="1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 s="78" customFormat="1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"/>
      <c r="N37" s="1"/>
      <c r="O37" s="1"/>
    </row>
    <row r="38" spans="1:15" ht="33">
      <c r="D38" s="192"/>
      <c r="E38" s="206"/>
      <c r="F38" s="206"/>
      <c r="G38" s="206"/>
    </row>
    <row r="39" spans="1:15">
      <c r="O39" s="44"/>
    </row>
    <row r="40" spans="1:15" ht="23.25">
      <c r="B40" s="192"/>
      <c r="C40" s="192"/>
      <c r="D40" s="192"/>
      <c r="E40" s="192"/>
      <c r="F40" s="192"/>
      <c r="G40" s="192"/>
      <c r="H40" s="192"/>
      <c r="I40" s="192"/>
      <c r="J40" s="192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F16" sqref="F16:F27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174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0">
        <v>830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115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93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166" t="s">
        <v>9</v>
      </c>
      <c r="B16" s="111">
        <v>0</v>
      </c>
      <c r="C16" s="141">
        <v>0</v>
      </c>
      <c r="D16" s="141">
        <v>0</v>
      </c>
      <c r="E16" s="141">
        <f t="shared" ref="E16:E27" si="0">B16+C16-D16</f>
        <v>0</v>
      </c>
      <c r="F16" s="213">
        <v>0</v>
      </c>
      <c r="G16" s="141">
        <f t="shared" ref="G16:G28" si="1">E16-F16-H16-K16</f>
        <v>0</v>
      </c>
      <c r="H16" s="111">
        <v>0</v>
      </c>
      <c r="I16" s="111">
        <v>0</v>
      </c>
      <c r="J16" s="141">
        <f t="shared" ref="J16:J28" si="2">H16-I16-L16</f>
        <v>0</v>
      </c>
      <c r="K16" s="213">
        <v>0</v>
      </c>
      <c r="L16" s="111">
        <v>0</v>
      </c>
      <c r="M16" s="141">
        <f t="shared" ref="M16:M27" si="3">SUM(K16:L16)</f>
        <v>0</v>
      </c>
      <c r="N16" s="166">
        <f t="shared" ref="N16:N28" si="4">ROUND(+M16/$K$9,3)</f>
        <v>0</v>
      </c>
      <c r="O16" s="85"/>
    </row>
    <row r="17" spans="1:15">
      <c r="A17" s="166" t="s">
        <v>10</v>
      </c>
      <c r="B17" s="111">
        <v>0</v>
      </c>
      <c r="C17" s="141">
        <v>0</v>
      </c>
      <c r="D17" s="141">
        <v>0</v>
      </c>
      <c r="E17" s="141">
        <f t="shared" si="0"/>
        <v>0</v>
      </c>
      <c r="F17" s="213">
        <v>0</v>
      </c>
      <c r="G17" s="141">
        <f t="shared" si="1"/>
        <v>0</v>
      </c>
      <c r="H17" s="111">
        <v>0</v>
      </c>
      <c r="I17" s="111">
        <v>0</v>
      </c>
      <c r="J17" s="141">
        <f t="shared" si="2"/>
        <v>0</v>
      </c>
      <c r="K17" s="213">
        <v>0</v>
      </c>
      <c r="L17" s="111">
        <v>0</v>
      </c>
      <c r="M17" s="141">
        <f t="shared" si="3"/>
        <v>0</v>
      </c>
      <c r="N17" s="166">
        <f t="shared" si="4"/>
        <v>0</v>
      </c>
      <c r="O17" s="85"/>
    </row>
    <row r="18" spans="1:15">
      <c r="A18" s="166" t="s">
        <v>11</v>
      </c>
      <c r="B18" s="111">
        <v>0</v>
      </c>
      <c r="C18" s="141">
        <v>0</v>
      </c>
      <c r="D18" s="141">
        <v>0</v>
      </c>
      <c r="E18" s="141">
        <f t="shared" si="0"/>
        <v>0</v>
      </c>
      <c r="F18" s="213">
        <v>0</v>
      </c>
      <c r="G18" s="141">
        <f t="shared" si="1"/>
        <v>0</v>
      </c>
      <c r="H18" s="111">
        <v>0</v>
      </c>
      <c r="I18" s="111">
        <v>0</v>
      </c>
      <c r="J18" s="141">
        <f t="shared" si="2"/>
        <v>0</v>
      </c>
      <c r="K18" s="213">
        <v>0</v>
      </c>
      <c r="L18" s="111">
        <v>0</v>
      </c>
      <c r="M18" s="141">
        <f t="shared" si="3"/>
        <v>0</v>
      </c>
      <c r="N18" s="166">
        <f t="shared" si="4"/>
        <v>0</v>
      </c>
      <c r="O18" s="85"/>
    </row>
    <row r="19" spans="1:15">
      <c r="A19" s="166" t="s">
        <v>12</v>
      </c>
      <c r="B19" s="111">
        <v>0</v>
      </c>
      <c r="C19" s="141">
        <v>0</v>
      </c>
      <c r="D19" s="141">
        <v>0</v>
      </c>
      <c r="E19" s="141">
        <f t="shared" si="0"/>
        <v>0</v>
      </c>
      <c r="F19" s="213">
        <v>0</v>
      </c>
      <c r="G19" s="141">
        <f t="shared" si="1"/>
        <v>0</v>
      </c>
      <c r="H19" s="111">
        <v>0</v>
      </c>
      <c r="I19" s="111">
        <v>0</v>
      </c>
      <c r="J19" s="141">
        <f t="shared" si="2"/>
        <v>0</v>
      </c>
      <c r="K19" s="213">
        <v>0</v>
      </c>
      <c r="L19" s="111">
        <v>0</v>
      </c>
      <c r="M19" s="141">
        <f t="shared" si="3"/>
        <v>0</v>
      </c>
      <c r="N19" s="166">
        <f t="shared" si="4"/>
        <v>0</v>
      </c>
      <c r="O19" s="85"/>
    </row>
    <row r="20" spans="1:15">
      <c r="A20" s="166" t="s">
        <v>13</v>
      </c>
      <c r="B20" s="111">
        <v>0</v>
      </c>
      <c r="C20" s="141">
        <v>0</v>
      </c>
      <c r="D20" s="141">
        <v>0</v>
      </c>
      <c r="E20" s="141">
        <f t="shared" si="0"/>
        <v>0</v>
      </c>
      <c r="F20" s="213">
        <v>0</v>
      </c>
      <c r="G20" s="141">
        <f t="shared" si="1"/>
        <v>0</v>
      </c>
      <c r="H20" s="111">
        <v>0</v>
      </c>
      <c r="I20" s="111">
        <v>0</v>
      </c>
      <c r="J20" s="141">
        <f t="shared" si="2"/>
        <v>0</v>
      </c>
      <c r="K20" s="213">
        <v>0</v>
      </c>
      <c r="L20" s="111">
        <v>0</v>
      </c>
      <c r="M20" s="141">
        <f t="shared" si="3"/>
        <v>0</v>
      </c>
      <c r="N20" s="166">
        <f t="shared" si="4"/>
        <v>0</v>
      </c>
      <c r="O20" s="85"/>
    </row>
    <row r="21" spans="1:15">
      <c r="A21" s="166" t="s">
        <v>14</v>
      </c>
      <c r="B21" s="111">
        <v>111</v>
      </c>
      <c r="C21" s="141">
        <v>0</v>
      </c>
      <c r="D21" s="141">
        <v>0</v>
      </c>
      <c r="E21" s="141">
        <f t="shared" si="0"/>
        <v>111</v>
      </c>
      <c r="F21" s="216">
        <v>45</v>
      </c>
      <c r="G21" s="141">
        <f t="shared" si="1"/>
        <v>66</v>
      </c>
      <c r="H21" s="111">
        <v>0</v>
      </c>
      <c r="I21" s="111">
        <v>0</v>
      </c>
      <c r="J21" s="141">
        <f t="shared" si="2"/>
        <v>0</v>
      </c>
      <c r="K21" s="213">
        <v>0</v>
      </c>
      <c r="L21" s="111">
        <v>0</v>
      </c>
      <c r="M21" s="141">
        <f t="shared" si="3"/>
        <v>0</v>
      </c>
      <c r="N21" s="166">
        <f t="shared" si="4"/>
        <v>0</v>
      </c>
      <c r="O21" s="85"/>
    </row>
    <row r="22" spans="1:15">
      <c r="A22" s="166" t="s">
        <v>15</v>
      </c>
      <c r="B22" s="111">
        <v>370</v>
      </c>
      <c r="C22" s="141">
        <v>0</v>
      </c>
      <c r="D22" s="141">
        <v>0</v>
      </c>
      <c r="E22" s="141">
        <f t="shared" si="0"/>
        <v>370</v>
      </c>
      <c r="F22" s="216">
        <v>96</v>
      </c>
      <c r="G22" s="141">
        <f t="shared" si="1"/>
        <v>132</v>
      </c>
      <c r="H22" s="111">
        <v>0</v>
      </c>
      <c r="I22" s="111">
        <v>0</v>
      </c>
      <c r="J22" s="141">
        <f t="shared" si="2"/>
        <v>0</v>
      </c>
      <c r="K22" s="216">
        <v>142</v>
      </c>
      <c r="L22" s="111">
        <v>0</v>
      </c>
      <c r="M22" s="141">
        <f t="shared" si="3"/>
        <v>142</v>
      </c>
      <c r="N22" s="166">
        <f t="shared" si="4"/>
        <v>0.17100000000000001</v>
      </c>
      <c r="O22" s="85"/>
    </row>
    <row r="23" spans="1:15">
      <c r="A23" s="166" t="s">
        <v>16</v>
      </c>
      <c r="B23" s="111">
        <v>687</v>
      </c>
      <c r="C23" s="141">
        <v>0</v>
      </c>
      <c r="D23" s="141">
        <v>0</v>
      </c>
      <c r="E23" s="141">
        <f t="shared" si="0"/>
        <v>687</v>
      </c>
      <c r="F23" s="216">
        <v>176</v>
      </c>
      <c r="G23" s="141">
        <f t="shared" si="1"/>
        <v>325</v>
      </c>
      <c r="H23" s="111">
        <v>0</v>
      </c>
      <c r="I23" s="111">
        <v>0</v>
      </c>
      <c r="J23" s="141">
        <f t="shared" si="2"/>
        <v>0</v>
      </c>
      <c r="K23" s="216">
        <v>186</v>
      </c>
      <c r="L23" s="111">
        <v>0</v>
      </c>
      <c r="M23" s="141">
        <f t="shared" si="3"/>
        <v>186</v>
      </c>
      <c r="N23" s="166">
        <f t="shared" si="4"/>
        <v>0.224</v>
      </c>
      <c r="O23" s="85"/>
    </row>
    <row r="24" spans="1:15">
      <c r="A24" s="166" t="s">
        <v>17</v>
      </c>
      <c r="B24" s="111">
        <v>120</v>
      </c>
      <c r="C24" s="141">
        <v>0</v>
      </c>
      <c r="D24" s="141">
        <v>0</v>
      </c>
      <c r="E24" s="141">
        <f t="shared" si="0"/>
        <v>120</v>
      </c>
      <c r="F24" s="216">
        <v>38</v>
      </c>
      <c r="G24" s="141">
        <f t="shared" si="1"/>
        <v>27</v>
      </c>
      <c r="H24" s="111">
        <v>0</v>
      </c>
      <c r="I24" s="111">
        <v>0</v>
      </c>
      <c r="J24" s="141">
        <f t="shared" si="2"/>
        <v>0</v>
      </c>
      <c r="K24" s="216">
        <v>55</v>
      </c>
      <c r="L24" s="111">
        <v>0</v>
      </c>
      <c r="M24" s="141">
        <f t="shared" si="3"/>
        <v>55</v>
      </c>
      <c r="N24" s="166">
        <f t="shared" si="4"/>
        <v>6.6000000000000003E-2</v>
      </c>
      <c r="O24" s="85"/>
    </row>
    <row r="25" spans="1:15">
      <c r="A25" s="166" t="s">
        <v>18</v>
      </c>
      <c r="B25" s="111">
        <v>0</v>
      </c>
      <c r="C25" s="141">
        <v>0</v>
      </c>
      <c r="D25" s="141">
        <v>0</v>
      </c>
      <c r="E25" s="141">
        <f t="shared" si="0"/>
        <v>0</v>
      </c>
      <c r="F25" s="213">
        <v>0</v>
      </c>
      <c r="G25" s="141">
        <f t="shared" si="1"/>
        <v>0</v>
      </c>
      <c r="H25" s="111">
        <v>0</v>
      </c>
      <c r="I25" s="111">
        <v>0</v>
      </c>
      <c r="J25" s="141">
        <f t="shared" si="2"/>
        <v>0</v>
      </c>
      <c r="K25" s="213">
        <v>0</v>
      </c>
      <c r="L25" s="111">
        <v>0</v>
      </c>
      <c r="M25" s="141">
        <f t="shared" si="3"/>
        <v>0</v>
      </c>
      <c r="N25" s="166">
        <f t="shared" si="4"/>
        <v>0</v>
      </c>
      <c r="O25" s="85"/>
    </row>
    <row r="26" spans="1:15">
      <c r="A26" s="166" t="s">
        <v>19</v>
      </c>
      <c r="B26" s="111">
        <v>0</v>
      </c>
      <c r="C26" s="141">
        <v>0</v>
      </c>
      <c r="D26" s="141">
        <v>0</v>
      </c>
      <c r="E26" s="141">
        <f t="shared" si="0"/>
        <v>0</v>
      </c>
      <c r="F26" s="213">
        <v>0</v>
      </c>
      <c r="G26" s="141">
        <f t="shared" si="1"/>
        <v>0</v>
      </c>
      <c r="H26" s="111">
        <v>0</v>
      </c>
      <c r="I26" s="111">
        <v>0</v>
      </c>
      <c r="J26" s="141">
        <f t="shared" si="2"/>
        <v>0</v>
      </c>
      <c r="K26" s="213">
        <v>0</v>
      </c>
      <c r="L26" s="111">
        <v>0</v>
      </c>
      <c r="M26" s="141">
        <f t="shared" si="3"/>
        <v>0</v>
      </c>
      <c r="N26" s="166">
        <f t="shared" si="4"/>
        <v>0</v>
      </c>
      <c r="O26" s="85"/>
    </row>
    <row r="27" spans="1:15">
      <c r="A27" s="166" t="s">
        <v>20</v>
      </c>
      <c r="B27" s="111">
        <v>0</v>
      </c>
      <c r="C27" s="141">
        <v>0</v>
      </c>
      <c r="D27" s="141">
        <v>0</v>
      </c>
      <c r="E27" s="141">
        <f t="shared" si="0"/>
        <v>0</v>
      </c>
      <c r="F27" s="213">
        <v>0</v>
      </c>
      <c r="G27" s="141">
        <f t="shared" si="1"/>
        <v>0</v>
      </c>
      <c r="H27" s="111">
        <v>0</v>
      </c>
      <c r="I27" s="111">
        <v>0</v>
      </c>
      <c r="J27" s="141">
        <f t="shared" si="2"/>
        <v>0</v>
      </c>
      <c r="K27" s="213">
        <v>0</v>
      </c>
      <c r="L27" s="111">
        <v>0</v>
      </c>
      <c r="M27" s="141">
        <f t="shared" si="3"/>
        <v>0</v>
      </c>
      <c r="N27" s="166">
        <f t="shared" si="4"/>
        <v>0</v>
      </c>
      <c r="O27" s="85"/>
    </row>
    <row r="28" spans="1:15" ht="15.75" thickBot="1">
      <c r="A28" s="173" t="s">
        <v>21</v>
      </c>
      <c r="B28" s="157">
        <f>SUM(B16:B27)</f>
        <v>1288</v>
      </c>
      <c r="C28" s="157">
        <f>SUM(C16:C27)</f>
        <v>0</v>
      </c>
      <c r="D28" s="157">
        <f>SUM(D16:D27)</f>
        <v>0</v>
      </c>
      <c r="E28" s="157">
        <f>SUM(E16:E27)</f>
        <v>1288</v>
      </c>
      <c r="F28" s="157">
        <f>SUM(F16:F27)</f>
        <v>355</v>
      </c>
      <c r="G28" s="157">
        <f t="shared" si="1"/>
        <v>550</v>
      </c>
      <c r="H28" s="157">
        <f>SUM(H16:H27)</f>
        <v>0</v>
      </c>
      <c r="I28" s="157">
        <f>SUM(I16:I27)</f>
        <v>0</v>
      </c>
      <c r="J28" s="157">
        <f t="shared" si="2"/>
        <v>0</v>
      </c>
      <c r="K28" s="157">
        <f>SUM(K16:K27)</f>
        <v>383</v>
      </c>
      <c r="L28" s="157">
        <f>SUM(L16:L27)</f>
        <v>0</v>
      </c>
      <c r="M28" s="157">
        <f>SUM(M16:M27)</f>
        <v>383</v>
      </c>
      <c r="N28" s="167">
        <f t="shared" si="4"/>
        <v>0.46100000000000002</v>
      </c>
      <c r="O28" s="85"/>
    </row>
    <row r="29" spans="1:15" ht="15.75" thickTop="1">
      <c r="A29" s="169" t="s">
        <v>22</v>
      </c>
      <c r="B29" s="169"/>
      <c r="C29" s="169"/>
      <c r="D29" s="169"/>
      <c r="E29" s="169">
        <f t="shared" ref="E29:M29" si="5">ROUND(+E28/$K$9,2)</f>
        <v>1.55</v>
      </c>
      <c r="F29" s="169">
        <f t="shared" si="5"/>
        <v>0.43</v>
      </c>
      <c r="G29" s="169">
        <f t="shared" si="5"/>
        <v>0.66</v>
      </c>
      <c r="H29" s="169">
        <f t="shared" si="5"/>
        <v>0</v>
      </c>
      <c r="I29" s="169">
        <f t="shared" si="5"/>
        <v>0</v>
      </c>
      <c r="J29" s="169">
        <f t="shared" si="5"/>
        <v>0</v>
      </c>
      <c r="K29" s="169">
        <f t="shared" si="5"/>
        <v>0.46</v>
      </c>
      <c r="L29" s="169">
        <f t="shared" si="5"/>
        <v>0</v>
      </c>
      <c r="M29" s="169">
        <f t="shared" si="5"/>
        <v>0.46</v>
      </c>
      <c r="N29" s="169"/>
      <c r="O29" s="85"/>
    </row>
    <row r="30" spans="1:15" ht="15.75" thickBot="1">
      <c r="A30" s="166" t="s">
        <v>23</v>
      </c>
      <c r="B30" s="166"/>
      <c r="C30" s="166"/>
      <c r="D30" s="166"/>
      <c r="E30" s="166">
        <f t="shared" ref="E30:M30" si="6">E28/$E$28*100</f>
        <v>100</v>
      </c>
      <c r="F30" s="144">
        <f t="shared" si="6"/>
        <v>27.562111801242235</v>
      </c>
      <c r="G30" s="144">
        <f t="shared" si="6"/>
        <v>42.701863354037265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29.7360248447205</v>
      </c>
      <c r="L30" s="144">
        <f t="shared" si="6"/>
        <v>0</v>
      </c>
      <c r="M30" s="144">
        <f t="shared" si="6"/>
        <v>29.7360248447205</v>
      </c>
      <c r="N30" s="166"/>
      <c r="O30" s="85"/>
    </row>
    <row r="31" spans="1:15" ht="15.75" thickTop="1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5">
      <c r="A32" s="75" t="s">
        <v>24</v>
      </c>
      <c r="B32" s="75" t="s">
        <v>33</v>
      </c>
      <c r="C32" s="171"/>
      <c r="D32" s="171"/>
      <c r="E32" s="171"/>
      <c r="F32" s="171"/>
      <c r="G32" s="171"/>
      <c r="H32" s="171"/>
      <c r="I32" s="75" t="s">
        <v>66</v>
      </c>
      <c r="J32" s="171"/>
      <c r="K32" s="171"/>
      <c r="L32" s="171"/>
      <c r="M32" s="171"/>
      <c r="N32" s="171"/>
    </row>
    <row r="33" spans="1:15">
      <c r="A33" s="75"/>
      <c r="B33" s="75" t="s">
        <v>34</v>
      </c>
      <c r="C33" s="171"/>
      <c r="D33" s="171"/>
      <c r="E33" s="171"/>
      <c r="F33" s="171"/>
      <c r="G33" s="171"/>
      <c r="H33" s="171"/>
      <c r="I33" s="75" t="s">
        <v>67</v>
      </c>
      <c r="J33" s="171"/>
      <c r="K33" s="171"/>
      <c r="L33" s="171"/>
      <c r="M33" s="171"/>
      <c r="N33" s="171"/>
    </row>
    <row r="34" spans="1:15">
      <c r="A34" s="75"/>
      <c r="B34" s="75" t="s">
        <v>35</v>
      </c>
      <c r="C34" s="171"/>
      <c r="D34" s="171"/>
      <c r="E34" s="171"/>
      <c r="F34" s="171"/>
      <c r="G34" s="171"/>
      <c r="H34" s="171"/>
      <c r="I34" s="75" t="s">
        <v>68</v>
      </c>
      <c r="J34" s="171"/>
      <c r="K34" s="171"/>
      <c r="L34" s="171"/>
      <c r="M34" s="171"/>
      <c r="N34" s="171"/>
    </row>
    <row r="35" spans="1:15">
      <c r="A35" s="75"/>
      <c r="B35" s="75" t="s">
        <v>36</v>
      </c>
      <c r="C35" s="171"/>
      <c r="D35" s="171"/>
      <c r="E35" s="171"/>
      <c r="F35" s="171"/>
      <c r="G35" s="171"/>
      <c r="H35" s="171"/>
      <c r="I35" s="75" t="s">
        <v>69</v>
      </c>
      <c r="J35" s="171"/>
      <c r="K35" s="171"/>
      <c r="L35" s="171"/>
      <c r="M35" s="171"/>
      <c r="N35" s="171"/>
    </row>
    <row r="36" spans="1:15">
      <c r="A36" s="76"/>
      <c r="B36" s="171"/>
      <c r="C36" s="171" t="s">
        <v>0</v>
      </c>
      <c r="D36" s="171" t="s">
        <v>0</v>
      </c>
      <c r="E36" s="171" t="s">
        <v>0</v>
      </c>
      <c r="F36" s="171"/>
      <c r="G36" s="171"/>
      <c r="H36" s="171"/>
      <c r="I36" s="75"/>
      <c r="J36" s="171"/>
      <c r="K36" s="171"/>
      <c r="L36" s="171"/>
      <c r="M36" s="171"/>
      <c r="N36" s="171"/>
      <c r="O36" s="77"/>
    </row>
    <row r="37" spans="1:15">
      <c r="A37" s="171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</row>
    <row r="41" spans="1:15" ht="23.25">
      <c r="B41" s="194"/>
      <c r="C41" s="194"/>
      <c r="D41" s="194"/>
      <c r="E41" s="194"/>
      <c r="F41" s="194"/>
      <c r="G41" s="194"/>
      <c r="H41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zoomScale="87" zoomScaleNormal="87" workbookViewId="0">
      <selection activeCell="K16" sqref="K16:K27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113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8">
        <v>1181</v>
      </c>
      <c r="L9" s="11"/>
      <c r="M9" s="10" t="s">
        <v>77</v>
      </c>
      <c r="N9" s="119">
        <v>2022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39" t="s">
        <v>9</v>
      </c>
      <c r="B16" s="110">
        <v>0</v>
      </c>
      <c r="C16" s="140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10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41">
        <f t="shared" ref="M16:M27" si="3">SUM(K16:L16)</f>
        <v>0</v>
      </c>
      <c r="N16" s="139">
        <f t="shared" ref="N16:N28" si="4">ROUND(+M16/$K$9,3)</f>
        <v>0</v>
      </c>
    </row>
    <row r="17" spans="1:14">
      <c r="A17" s="139" t="s">
        <v>10</v>
      </c>
      <c r="B17" s="110">
        <v>0</v>
      </c>
      <c r="C17" s="140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10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41">
        <f t="shared" si="3"/>
        <v>0</v>
      </c>
      <c r="N17" s="139">
        <f t="shared" si="4"/>
        <v>0</v>
      </c>
    </row>
    <row r="18" spans="1:14">
      <c r="A18" s="139" t="s">
        <v>11</v>
      </c>
      <c r="B18" s="110">
        <v>0</v>
      </c>
      <c r="C18" s="140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10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41">
        <f t="shared" si="3"/>
        <v>0</v>
      </c>
      <c r="N18" s="139">
        <f t="shared" si="4"/>
        <v>0</v>
      </c>
    </row>
    <row r="19" spans="1:14">
      <c r="A19" s="139" t="s">
        <v>12</v>
      </c>
      <c r="B19" s="110">
        <v>0</v>
      </c>
      <c r="C19" s="140">
        <v>0</v>
      </c>
      <c r="D19" s="140">
        <v>0</v>
      </c>
      <c r="E19" s="141">
        <f t="shared" si="0"/>
        <v>0</v>
      </c>
      <c r="F19" s="110">
        <v>0</v>
      </c>
      <c r="G19" s="141">
        <f t="shared" si="1"/>
        <v>0</v>
      </c>
      <c r="H19" s="110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41">
        <f t="shared" si="3"/>
        <v>0</v>
      </c>
      <c r="N19" s="139">
        <f t="shared" si="4"/>
        <v>0</v>
      </c>
    </row>
    <row r="20" spans="1:14">
      <c r="A20" s="139" t="s">
        <v>13</v>
      </c>
      <c r="B20" s="110">
        <v>0</v>
      </c>
      <c r="C20" s="140">
        <v>0</v>
      </c>
      <c r="D20" s="140">
        <v>0</v>
      </c>
      <c r="E20" s="141">
        <f t="shared" si="0"/>
        <v>0</v>
      </c>
      <c r="F20" s="110">
        <v>0</v>
      </c>
      <c r="G20" s="141">
        <f t="shared" si="1"/>
        <v>0</v>
      </c>
      <c r="H20" s="110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41">
        <f t="shared" si="3"/>
        <v>0</v>
      </c>
      <c r="N20" s="139">
        <f t="shared" si="4"/>
        <v>0</v>
      </c>
    </row>
    <row r="21" spans="1:14">
      <c r="A21" s="139" t="s">
        <v>14</v>
      </c>
      <c r="B21" s="110">
        <v>267</v>
      </c>
      <c r="C21" s="140">
        <v>0</v>
      </c>
      <c r="D21" s="140">
        <v>0</v>
      </c>
      <c r="E21" s="141">
        <f t="shared" si="0"/>
        <v>267</v>
      </c>
      <c r="F21" s="216">
        <v>76</v>
      </c>
      <c r="G21" s="141">
        <f t="shared" si="1"/>
        <v>165</v>
      </c>
      <c r="H21" s="110">
        <v>0</v>
      </c>
      <c r="I21" s="110">
        <v>0</v>
      </c>
      <c r="J21" s="141">
        <f t="shared" si="2"/>
        <v>0</v>
      </c>
      <c r="K21" s="110">
        <v>26</v>
      </c>
      <c r="L21" s="110">
        <v>0</v>
      </c>
      <c r="M21" s="141">
        <f t="shared" si="3"/>
        <v>26</v>
      </c>
      <c r="N21" s="139">
        <f t="shared" si="4"/>
        <v>2.1999999999999999E-2</v>
      </c>
    </row>
    <row r="22" spans="1:14">
      <c r="A22" s="139" t="s">
        <v>15</v>
      </c>
      <c r="B22" s="110">
        <v>534</v>
      </c>
      <c r="C22" s="140">
        <v>0</v>
      </c>
      <c r="D22" s="140">
        <v>0</v>
      </c>
      <c r="E22" s="141">
        <f t="shared" si="0"/>
        <v>534</v>
      </c>
      <c r="F22" s="216">
        <v>107</v>
      </c>
      <c r="G22" s="141">
        <f t="shared" si="1"/>
        <v>138</v>
      </c>
      <c r="H22" s="110">
        <v>0</v>
      </c>
      <c r="I22" s="110">
        <v>0</v>
      </c>
      <c r="J22" s="141">
        <f t="shared" si="2"/>
        <v>0</v>
      </c>
      <c r="K22" s="216">
        <v>289</v>
      </c>
      <c r="L22" s="110">
        <v>0</v>
      </c>
      <c r="M22" s="141">
        <f t="shared" si="3"/>
        <v>289</v>
      </c>
      <c r="N22" s="139">
        <f t="shared" si="4"/>
        <v>0.245</v>
      </c>
    </row>
    <row r="23" spans="1:14">
      <c r="A23" s="139" t="s">
        <v>16</v>
      </c>
      <c r="B23" s="110">
        <v>725</v>
      </c>
      <c r="C23" s="140">
        <v>0</v>
      </c>
      <c r="D23" s="140">
        <v>0</v>
      </c>
      <c r="E23" s="141">
        <f t="shared" si="0"/>
        <v>725</v>
      </c>
      <c r="F23" s="216">
        <v>211</v>
      </c>
      <c r="G23" s="141">
        <f t="shared" si="1"/>
        <v>179</v>
      </c>
      <c r="H23" s="110">
        <v>0</v>
      </c>
      <c r="I23" s="110">
        <v>0</v>
      </c>
      <c r="J23" s="141">
        <f t="shared" si="2"/>
        <v>0</v>
      </c>
      <c r="K23" s="216">
        <v>335</v>
      </c>
      <c r="L23" s="110">
        <v>0</v>
      </c>
      <c r="M23" s="141">
        <f t="shared" si="3"/>
        <v>335</v>
      </c>
      <c r="N23" s="139">
        <f t="shared" si="4"/>
        <v>0.28399999999999997</v>
      </c>
    </row>
    <row r="24" spans="1:14">
      <c r="A24" s="139" t="s">
        <v>17</v>
      </c>
      <c r="B24" s="110">
        <v>213</v>
      </c>
      <c r="C24" s="140">
        <v>0</v>
      </c>
      <c r="D24" s="140">
        <v>0</v>
      </c>
      <c r="E24" s="141">
        <f t="shared" si="0"/>
        <v>213</v>
      </c>
      <c r="F24" s="110">
        <v>21</v>
      </c>
      <c r="G24" s="141">
        <f t="shared" si="1"/>
        <v>26</v>
      </c>
      <c r="H24" s="110">
        <v>0</v>
      </c>
      <c r="I24" s="110">
        <v>0</v>
      </c>
      <c r="J24" s="141">
        <f t="shared" si="2"/>
        <v>0</v>
      </c>
      <c r="K24" s="110">
        <v>166</v>
      </c>
      <c r="L24" s="110">
        <v>0</v>
      </c>
      <c r="M24" s="141">
        <f t="shared" si="3"/>
        <v>166</v>
      </c>
      <c r="N24" s="139">
        <f t="shared" si="4"/>
        <v>0.14099999999999999</v>
      </c>
    </row>
    <row r="25" spans="1:14">
      <c r="A25" s="139" t="s">
        <v>18</v>
      </c>
      <c r="B25" s="110">
        <v>0</v>
      </c>
      <c r="C25" s="140">
        <v>0</v>
      </c>
      <c r="D25" s="140">
        <v>0</v>
      </c>
      <c r="E25" s="141">
        <f t="shared" si="0"/>
        <v>0</v>
      </c>
      <c r="F25" s="110">
        <v>0</v>
      </c>
      <c r="G25" s="141">
        <f t="shared" si="1"/>
        <v>0</v>
      </c>
      <c r="H25" s="110">
        <v>0</v>
      </c>
      <c r="I25" s="110">
        <v>0</v>
      </c>
      <c r="J25" s="141">
        <f t="shared" si="2"/>
        <v>0</v>
      </c>
      <c r="K25" s="110">
        <v>0</v>
      </c>
      <c r="L25" s="110">
        <v>0</v>
      </c>
      <c r="M25" s="141">
        <f t="shared" si="3"/>
        <v>0</v>
      </c>
      <c r="N25" s="139">
        <f t="shared" si="4"/>
        <v>0</v>
      </c>
    </row>
    <row r="26" spans="1:14">
      <c r="A26" s="139" t="s">
        <v>19</v>
      </c>
      <c r="B26" s="110">
        <v>0</v>
      </c>
      <c r="C26" s="140">
        <v>0</v>
      </c>
      <c r="D26" s="140">
        <v>0</v>
      </c>
      <c r="E26" s="141">
        <f t="shared" si="0"/>
        <v>0</v>
      </c>
      <c r="F26" s="110">
        <v>0</v>
      </c>
      <c r="G26" s="141">
        <f t="shared" si="1"/>
        <v>0</v>
      </c>
      <c r="H26" s="110">
        <v>0</v>
      </c>
      <c r="I26" s="110">
        <v>0</v>
      </c>
      <c r="J26" s="141">
        <f t="shared" si="2"/>
        <v>0</v>
      </c>
      <c r="K26" s="110">
        <v>0</v>
      </c>
      <c r="L26" s="110">
        <v>0</v>
      </c>
      <c r="M26" s="141">
        <f t="shared" si="3"/>
        <v>0</v>
      </c>
      <c r="N26" s="139">
        <f t="shared" si="4"/>
        <v>0</v>
      </c>
    </row>
    <row r="27" spans="1:14">
      <c r="A27" s="139" t="s">
        <v>20</v>
      </c>
      <c r="B27" s="110">
        <v>0</v>
      </c>
      <c r="C27" s="140">
        <v>0</v>
      </c>
      <c r="D27" s="140">
        <v>0</v>
      </c>
      <c r="E27" s="141">
        <f t="shared" si="0"/>
        <v>0</v>
      </c>
      <c r="F27" s="110">
        <v>0</v>
      </c>
      <c r="G27" s="141">
        <f t="shared" si="1"/>
        <v>0</v>
      </c>
      <c r="H27" s="110">
        <v>0</v>
      </c>
      <c r="I27" s="110">
        <v>0</v>
      </c>
      <c r="J27" s="141">
        <f t="shared" si="2"/>
        <v>0</v>
      </c>
      <c r="K27" s="110">
        <v>0</v>
      </c>
      <c r="L27" s="110">
        <v>0</v>
      </c>
      <c r="M27" s="141">
        <f t="shared" si="3"/>
        <v>0</v>
      </c>
      <c r="N27" s="139">
        <f t="shared" si="4"/>
        <v>0</v>
      </c>
    </row>
    <row r="28" spans="1:14" ht="15.75" thickBot="1">
      <c r="A28" s="139" t="s">
        <v>21</v>
      </c>
      <c r="B28" s="157">
        <f>SUM(B16:B27)</f>
        <v>1739</v>
      </c>
      <c r="C28" s="157">
        <f>SUM(C16:C27)</f>
        <v>0</v>
      </c>
      <c r="D28" s="157">
        <f>SUM(D16:D27)</f>
        <v>0</v>
      </c>
      <c r="E28" s="157">
        <f>SUM(E16:E27)</f>
        <v>1739</v>
      </c>
      <c r="F28" s="157">
        <f>SUM(F16:F27)</f>
        <v>415</v>
      </c>
      <c r="G28" s="157">
        <f t="shared" si="1"/>
        <v>508</v>
      </c>
      <c r="H28" s="157">
        <f>SUM(H16:H27)</f>
        <v>0</v>
      </c>
      <c r="I28" s="157">
        <f>SUM(I16:I27)</f>
        <v>0</v>
      </c>
      <c r="J28" s="157">
        <f t="shared" si="2"/>
        <v>0</v>
      </c>
      <c r="K28" s="157">
        <f>SUM(K16:K27)</f>
        <v>816</v>
      </c>
      <c r="L28" s="157">
        <f>SUM(L16:L27)</f>
        <v>0</v>
      </c>
      <c r="M28" s="157">
        <f>SUM(M16:M27)</f>
        <v>816</v>
      </c>
      <c r="N28" s="142">
        <f t="shared" si="4"/>
        <v>0.69099999999999995</v>
      </c>
    </row>
    <row r="29" spans="1:14" ht="15.75" thickTop="1">
      <c r="A29" s="137" t="s">
        <v>22</v>
      </c>
      <c r="B29" s="138"/>
      <c r="C29" s="138"/>
      <c r="D29" s="138"/>
      <c r="E29" s="160">
        <f t="shared" ref="E29:M29" si="5">ROUND(+E28/$K$9,2)</f>
        <v>1.47</v>
      </c>
      <c r="F29" s="160">
        <f t="shared" si="5"/>
        <v>0.35</v>
      </c>
      <c r="G29" s="160">
        <f t="shared" si="5"/>
        <v>0.43</v>
      </c>
      <c r="H29" s="160">
        <f t="shared" si="5"/>
        <v>0</v>
      </c>
      <c r="I29" s="160">
        <f t="shared" si="5"/>
        <v>0</v>
      </c>
      <c r="J29" s="160">
        <f t="shared" si="5"/>
        <v>0</v>
      </c>
      <c r="K29" s="160">
        <f t="shared" si="5"/>
        <v>0.69</v>
      </c>
      <c r="L29" s="160">
        <f t="shared" si="5"/>
        <v>0</v>
      </c>
      <c r="M29" s="160">
        <f t="shared" si="5"/>
        <v>0.69</v>
      </c>
      <c r="N29" s="138"/>
    </row>
    <row r="30" spans="1:14" ht="15.75" thickBot="1">
      <c r="A30" s="139" t="s">
        <v>23</v>
      </c>
      <c r="B30" s="139"/>
      <c r="C30" s="139"/>
      <c r="D30" s="139"/>
      <c r="E30" s="144">
        <f t="shared" ref="E30:M30" si="6">E28/$E$28*100</f>
        <v>100</v>
      </c>
      <c r="F30" s="144">
        <f t="shared" si="6"/>
        <v>23.86428982173663</v>
      </c>
      <c r="G30" s="144">
        <f t="shared" si="6"/>
        <v>29.212190914318576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46.923519263944797</v>
      </c>
      <c r="L30" s="144">
        <f t="shared" si="6"/>
        <v>0</v>
      </c>
      <c r="M30" s="144">
        <f t="shared" si="6"/>
        <v>46.923519263944797</v>
      </c>
      <c r="N30" s="139"/>
    </row>
    <row r="31" spans="1:14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4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4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4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4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4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5"/>
      <c r="I36" s="24"/>
      <c r="J36" s="135"/>
      <c r="K36" s="135"/>
      <c r="L36" s="135"/>
      <c r="M36" s="135"/>
      <c r="N36" s="135"/>
    </row>
    <row r="37" spans="1:14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43" spans="1:14" ht="23.25">
      <c r="B43" s="192"/>
      <c r="C43" s="192"/>
      <c r="D43" s="192"/>
      <c r="E43" s="192"/>
      <c r="F43" s="192"/>
      <c r="G43" s="192"/>
      <c r="H43" s="192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K16" sqref="K16:K27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180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0">
        <v>5945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190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127"/>
      <c r="B15" s="127" t="s">
        <v>32</v>
      </c>
      <c r="C15" s="127" t="s">
        <v>40</v>
      </c>
      <c r="D15" s="127" t="s">
        <v>32</v>
      </c>
      <c r="E15" s="127"/>
      <c r="F15" s="127" t="s">
        <v>55</v>
      </c>
      <c r="G15" s="127" t="s">
        <v>60</v>
      </c>
      <c r="H15" s="127" t="s">
        <v>62</v>
      </c>
      <c r="I15" s="128"/>
      <c r="J15" s="127"/>
      <c r="K15" s="127" t="s">
        <v>93</v>
      </c>
      <c r="L15" s="127" t="s">
        <v>76</v>
      </c>
      <c r="M15" s="127" t="s">
        <v>21</v>
      </c>
      <c r="N15" s="129" t="s">
        <v>81</v>
      </c>
      <c r="O15" s="85"/>
    </row>
    <row r="16" spans="1:15">
      <c r="A16" s="166" t="s">
        <v>9</v>
      </c>
      <c r="B16" s="111">
        <v>0</v>
      </c>
      <c r="C16" s="141">
        <v>0</v>
      </c>
      <c r="D16" s="141">
        <v>0</v>
      </c>
      <c r="E16" s="141">
        <f t="shared" ref="E16:E27" si="0">B16+C16-D16</f>
        <v>0</v>
      </c>
      <c r="F16" s="111">
        <v>0</v>
      </c>
      <c r="G16" s="141">
        <f t="shared" ref="G16:G28" si="1">E16-F16-H16-K16</f>
        <v>0</v>
      </c>
      <c r="H16" s="111">
        <v>0</v>
      </c>
      <c r="I16" s="111">
        <v>0</v>
      </c>
      <c r="J16" s="141">
        <f t="shared" ref="J16:J28" si="2">H16-I16-L16</f>
        <v>0</v>
      </c>
      <c r="K16" s="111">
        <v>0</v>
      </c>
      <c r="L16" s="111">
        <v>0</v>
      </c>
      <c r="M16" s="141">
        <f t="shared" ref="M16:M27" si="3">SUM(K16:L16)</f>
        <v>0</v>
      </c>
      <c r="N16" s="166">
        <f t="shared" ref="N16:N28" si="4">ROUND(+M16/$K$9,3)</f>
        <v>0</v>
      </c>
      <c r="O16" s="85"/>
    </row>
    <row r="17" spans="1:15">
      <c r="A17" s="166" t="s">
        <v>10</v>
      </c>
      <c r="B17" s="111">
        <v>0</v>
      </c>
      <c r="C17" s="141">
        <v>0</v>
      </c>
      <c r="D17" s="141">
        <v>0</v>
      </c>
      <c r="E17" s="141">
        <f t="shared" si="0"/>
        <v>0</v>
      </c>
      <c r="F17" s="111">
        <v>0</v>
      </c>
      <c r="G17" s="141">
        <f t="shared" si="1"/>
        <v>0</v>
      </c>
      <c r="H17" s="111">
        <v>0</v>
      </c>
      <c r="I17" s="111">
        <v>0</v>
      </c>
      <c r="J17" s="141">
        <f t="shared" si="2"/>
        <v>0</v>
      </c>
      <c r="K17" s="111">
        <v>0</v>
      </c>
      <c r="L17" s="111">
        <v>0</v>
      </c>
      <c r="M17" s="141">
        <f t="shared" si="3"/>
        <v>0</v>
      </c>
      <c r="N17" s="166">
        <f t="shared" si="4"/>
        <v>0</v>
      </c>
      <c r="O17" s="85"/>
    </row>
    <row r="18" spans="1:15">
      <c r="A18" s="166" t="s">
        <v>11</v>
      </c>
      <c r="B18" s="111">
        <v>0</v>
      </c>
      <c r="C18" s="141">
        <v>0</v>
      </c>
      <c r="D18" s="141">
        <v>0</v>
      </c>
      <c r="E18" s="141">
        <f t="shared" si="0"/>
        <v>0</v>
      </c>
      <c r="F18" s="111">
        <v>0</v>
      </c>
      <c r="G18" s="141">
        <f t="shared" si="1"/>
        <v>0</v>
      </c>
      <c r="H18" s="111">
        <v>0</v>
      </c>
      <c r="I18" s="111">
        <v>0</v>
      </c>
      <c r="J18" s="141">
        <f t="shared" si="2"/>
        <v>0</v>
      </c>
      <c r="K18" s="111">
        <v>0</v>
      </c>
      <c r="L18" s="111">
        <v>0</v>
      </c>
      <c r="M18" s="141">
        <f t="shared" si="3"/>
        <v>0</v>
      </c>
      <c r="N18" s="166">
        <f t="shared" si="4"/>
        <v>0</v>
      </c>
      <c r="O18" s="85"/>
    </row>
    <row r="19" spans="1:15">
      <c r="A19" s="166" t="s">
        <v>12</v>
      </c>
      <c r="B19" s="111">
        <v>0</v>
      </c>
      <c r="C19" s="141">
        <v>0</v>
      </c>
      <c r="D19" s="141">
        <v>0</v>
      </c>
      <c r="E19" s="141">
        <f t="shared" si="0"/>
        <v>0</v>
      </c>
      <c r="F19" s="111">
        <v>0</v>
      </c>
      <c r="G19" s="141">
        <f t="shared" si="1"/>
        <v>0</v>
      </c>
      <c r="H19" s="111">
        <v>0</v>
      </c>
      <c r="I19" s="111">
        <v>0</v>
      </c>
      <c r="J19" s="141">
        <f t="shared" si="2"/>
        <v>0</v>
      </c>
      <c r="K19" s="111">
        <v>0</v>
      </c>
      <c r="L19" s="111">
        <v>0</v>
      </c>
      <c r="M19" s="141">
        <f t="shared" si="3"/>
        <v>0</v>
      </c>
      <c r="N19" s="166">
        <f t="shared" si="4"/>
        <v>0</v>
      </c>
      <c r="O19" s="85"/>
    </row>
    <row r="20" spans="1:15">
      <c r="A20" s="166" t="s">
        <v>13</v>
      </c>
      <c r="B20" s="111">
        <v>0</v>
      </c>
      <c r="C20" s="141">
        <v>0</v>
      </c>
      <c r="D20" s="141">
        <v>0</v>
      </c>
      <c r="E20" s="141">
        <f t="shared" si="0"/>
        <v>0</v>
      </c>
      <c r="F20" s="111">
        <v>0</v>
      </c>
      <c r="G20" s="141">
        <f t="shared" si="1"/>
        <v>0</v>
      </c>
      <c r="H20" s="111">
        <v>0</v>
      </c>
      <c r="I20" s="111">
        <v>0</v>
      </c>
      <c r="J20" s="141">
        <f t="shared" si="2"/>
        <v>0</v>
      </c>
      <c r="K20" s="111">
        <v>0</v>
      </c>
      <c r="L20" s="111">
        <v>0</v>
      </c>
      <c r="M20" s="141">
        <f t="shared" si="3"/>
        <v>0</v>
      </c>
      <c r="N20" s="166">
        <f t="shared" si="4"/>
        <v>0</v>
      </c>
      <c r="O20" s="85"/>
    </row>
    <row r="21" spans="1:15">
      <c r="A21" s="166" t="s">
        <v>14</v>
      </c>
      <c r="B21" s="213">
        <v>2134</v>
      </c>
      <c r="C21" s="141">
        <v>0</v>
      </c>
      <c r="D21" s="141">
        <v>0</v>
      </c>
      <c r="E21" s="141">
        <f t="shared" si="0"/>
        <v>2134</v>
      </c>
      <c r="F21" s="216">
        <v>572</v>
      </c>
      <c r="G21" s="141">
        <f t="shared" si="1"/>
        <v>1334</v>
      </c>
      <c r="H21" s="111">
        <v>0</v>
      </c>
      <c r="I21" s="111">
        <v>0</v>
      </c>
      <c r="J21" s="141">
        <f t="shared" si="2"/>
        <v>0</v>
      </c>
      <c r="K21" s="216">
        <v>228</v>
      </c>
      <c r="L21" s="111">
        <v>0</v>
      </c>
      <c r="M21" s="141">
        <f t="shared" si="3"/>
        <v>228</v>
      </c>
      <c r="N21" s="166">
        <f t="shared" si="4"/>
        <v>3.7999999999999999E-2</v>
      </c>
      <c r="O21" s="85"/>
    </row>
    <row r="22" spans="1:15">
      <c r="A22" s="166" t="s">
        <v>15</v>
      </c>
      <c r="B22" s="213">
        <v>2400</v>
      </c>
      <c r="C22" s="141">
        <v>0</v>
      </c>
      <c r="D22" s="141">
        <v>0</v>
      </c>
      <c r="E22" s="141">
        <f t="shared" si="0"/>
        <v>2400</v>
      </c>
      <c r="F22" s="216">
        <v>239</v>
      </c>
      <c r="G22" s="141">
        <f t="shared" si="1"/>
        <v>1311</v>
      </c>
      <c r="H22" s="191">
        <v>0</v>
      </c>
      <c r="I22" s="111">
        <v>0</v>
      </c>
      <c r="J22" s="141">
        <f t="shared" si="2"/>
        <v>0</v>
      </c>
      <c r="K22" s="217">
        <v>850</v>
      </c>
      <c r="L22" s="111">
        <v>0</v>
      </c>
      <c r="M22" s="141">
        <f t="shared" si="3"/>
        <v>850</v>
      </c>
      <c r="N22" s="166">
        <f t="shared" si="4"/>
        <v>0.14299999999999999</v>
      </c>
      <c r="O22" s="85"/>
    </row>
    <row r="23" spans="1:15">
      <c r="A23" s="166" t="s">
        <v>16</v>
      </c>
      <c r="B23" s="213">
        <v>4383</v>
      </c>
      <c r="C23" s="141">
        <v>0</v>
      </c>
      <c r="D23" s="141">
        <v>0</v>
      </c>
      <c r="E23" s="141">
        <f t="shared" si="0"/>
        <v>4383</v>
      </c>
      <c r="F23" s="216">
        <v>356</v>
      </c>
      <c r="G23" s="141">
        <f t="shared" si="1"/>
        <v>2677</v>
      </c>
      <c r="H23" s="191">
        <v>0</v>
      </c>
      <c r="I23" s="111">
        <v>0</v>
      </c>
      <c r="J23" s="141">
        <f t="shared" si="2"/>
        <v>0</v>
      </c>
      <c r="K23" s="217">
        <v>1350</v>
      </c>
      <c r="L23" s="111">
        <v>0</v>
      </c>
      <c r="M23" s="141">
        <f t="shared" si="3"/>
        <v>1350</v>
      </c>
      <c r="N23" s="166">
        <f t="shared" si="4"/>
        <v>0.22700000000000001</v>
      </c>
      <c r="O23" s="85"/>
    </row>
    <row r="24" spans="1:15">
      <c r="A24" s="166" t="s">
        <v>17</v>
      </c>
      <c r="B24" s="111">
        <v>910</v>
      </c>
      <c r="C24" s="141">
        <v>0</v>
      </c>
      <c r="D24" s="141">
        <v>0</v>
      </c>
      <c r="E24" s="141">
        <f t="shared" si="0"/>
        <v>910</v>
      </c>
      <c r="F24" s="111">
        <v>57</v>
      </c>
      <c r="G24" s="141">
        <f t="shared" si="1"/>
        <v>67</v>
      </c>
      <c r="H24" s="111">
        <v>0</v>
      </c>
      <c r="I24" s="111">
        <v>0</v>
      </c>
      <c r="J24" s="141">
        <f t="shared" si="2"/>
        <v>0</v>
      </c>
      <c r="K24" s="213">
        <v>786</v>
      </c>
      <c r="L24" s="111">
        <v>0</v>
      </c>
      <c r="M24" s="141">
        <f t="shared" si="3"/>
        <v>786</v>
      </c>
      <c r="N24" s="166">
        <f t="shared" si="4"/>
        <v>0.13200000000000001</v>
      </c>
      <c r="O24" s="85"/>
    </row>
    <row r="25" spans="1:15">
      <c r="A25" s="166" t="s">
        <v>18</v>
      </c>
      <c r="B25" s="111">
        <v>0</v>
      </c>
      <c r="C25" s="141">
        <v>0</v>
      </c>
      <c r="D25" s="141">
        <v>0</v>
      </c>
      <c r="E25" s="141">
        <f t="shared" si="0"/>
        <v>0</v>
      </c>
      <c r="F25" s="111">
        <v>0</v>
      </c>
      <c r="G25" s="141">
        <f t="shared" si="1"/>
        <v>0</v>
      </c>
      <c r="H25" s="111">
        <v>0</v>
      </c>
      <c r="I25" s="111">
        <v>0</v>
      </c>
      <c r="J25" s="141">
        <f t="shared" si="2"/>
        <v>0</v>
      </c>
      <c r="K25" s="111">
        <v>0</v>
      </c>
      <c r="L25" s="111">
        <v>0</v>
      </c>
      <c r="M25" s="141">
        <f t="shared" si="3"/>
        <v>0</v>
      </c>
      <c r="N25" s="166">
        <f t="shared" si="4"/>
        <v>0</v>
      </c>
      <c r="O25" s="85"/>
    </row>
    <row r="26" spans="1:15">
      <c r="A26" s="166" t="s">
        <v>19</v>
      </c>
      <c r="B26" s="111">
        <v>0</v>
      </c>
      <c r="C26" s="141">
        <v>0</v>
      </c>
      <c r="D26" s="141">
        <v>0</v>
      </c>
      <c r="E26" s="141">
        <f t="shared" si="0"/>
        <v>0</v>
      </c>
      <c r="F26" s="111">
        <v>0</v>
      </c>
      <c r="G26" s="141">
        <f t="shared" si="1"/>
        <v>0</v>
      </c>
      <c r="H26" s="111">
        <v>0</v>
      </c>
      <c r="I26" s="111">
        <v>0</v>
      </c>
      <c r="J26" s="141">
        <f t="shared" si="2"/>
        <v>0</v>
      </c>
      <c r="K26" s="111">
        <v>0</v>
      </c>
      <c r="L26" s="111">
        <v>0</v>
      </c>
      <c r="M26" s="141">
        <f t="shared" si="3"/>
        <v>0</v>
      </c>
      <c r="N26" s="166">
        <f t="shared" si="4"/>
        <v>0</v>
      </c>
      <c r="O26" s="85"/>
    </row>
    <row r="27" spans="1:15">
      <c r="A27" s="166" t="s">
        <v>20</v>
      </c>
      <c r="B27" s="111">
        <v>0</v>
      </c>
      <c r="C27" s="141">
        <v>0</v>
      </c>
      <c r="D27" s="141">
        <v>0</v>
      </c>
      <c r="E27" s="141">
        <f t="shared" si="0"/>
        <v>0</v>
      </c>
      <c r="F27" s="111">
        <v>0</v>
      </c>
      <c r="G27" s="141">
        <f t="shared" si="1"/>
        <v>0</v>
      </c>
      <c r="H27" s="111">
        <v>0</v>
      </c>
      <c r="I27" s="111">
        <v>0</v>
      </c>
      <c r="J27" s="141">
        <f t="shared" si="2"/>
        <v>0</v>
      </c>
      <c r="K27" s="111">
        <v>0</v>
      </c>
      <c r="L27" s="111">
        <v>0</v>
      </c>
      <c r="M27" s="141">
        <f t="shared" si="3"/>
        <v>0</v>
      </c>
      <c r="N27" s="166">
        <f t="shared" si="4"/>
        <v>0</v>
      </c>
      <c r="O27" s="85"/>
    </row>
    <row r="28" spans="1:15" ht="15.75" thickBot="1">
      <c r="A28" s="166" t="s">
        <v>21</v>
      </c>
      <c r="B28" s="141">
        <f>SUM(B16:B27)</f>
        <v>9827</v>
      </c>
      <c r="C28" s="141">
        <f>SUM(C16:C27)</f>
        <v>0</v>
      </c>
      <c r="D28" s="141">
        <f>SUM(D16:D27)</f>
        <v>0</v>
      </c>
      <c r="E28" s="141">
        <f>SUM(E16:E27)</f>
        <v>9827</v>
      </c>
      <c r="F28" s="141">
        <f>SUM(F16:F27)</f>
        <v>1224</v>
      </c>
      <c r="G28" s="141">
        <f t="shared" si="1"/>
        <v>5389</v>
      </c>
      <c r="H28" s="141">
        <f>SUM(H16:H27)</f>
        <v>0</v>
      </c>
      <c r="I28" s="141">
        <f>SUM(I16:I27)</f>
        <v>0</v>
      </c>
      <c r="J28" s="141">
        <f t="shared" si="2"/>
        <v>0</v>
      </c>
      <c r="K28" s="141">
        <f>SUM(K16:K27)</f>
        <v>3214</v>
      </c>
      <c r="L28" s="141">
        <f>SUM(L16:L27)</f>
        <v>0</v>
      </c>
      <c r="M28" s="141">
        <f>SUM(M16:M27)</f>
        <v>3214</v>
      </c>
      <c r="N28" s="167">
        <f t="shared" si="4"/>
        <v>0.54100000000000004</v>
      </c>
      <c r="O28" s="85"/>
    </row>
    <row r="29" spans="1:15" ht="15.75" thickTop="1">
      <c r="A29" s="168" t="s">
        <v>22</v>
      </c>
      <c r="B29" s="168"/>
      <c r="C29" s="168"/>
      <c r="D29" s="168"/>
      <c r="E29" s="168">
        <f t="shared" ref="E29:M29" si="5">ROUND(+E28/$K$9,2)</f>
        <v>1.65</v>
      </c>
      <c r="F29" s="168">
        <f t="shared" si="5"/>
        <v>0.21</v>
      </c>
      <c r="G29" s="168">
        <f t="shared" si="5"/>
        <v>0.91</v>
      </c>
      <c r="H29" s="168">
        <f t="shared" si="5"/>
        <v>0</v>
      </c>
      <c r="I29" s="168">
        <f t="shared" si="5"/>
        <v>0</v>
      </c>
      <c r="J29" s="168">
        <f t="shared" si="5"/>
        <v>0</v>
      </c>
      <c r="K29" s="168">
        <f t="shared" si="5"/>
        <v>0.54</v>
      </c>
      <c r="L29" s="168">
        <f t="shared" si="5"/>
        <v>0</v>
      </c>
      <c r="M29" s="168">
        <f t="shared" si="5"/>
        <v>0.54</v>
      </c>
      <c r="N29" s="169"/>
      <c r="O29" s="85"/>
    </row>
    <row r="30" spans="1:15" ht="15.75" thickBot="1">
      <c r="A30" s="166" t="s">
        <v>23</v>
      </c>
      <c r="B30" s="166"/>
      <c r="C30" s="166"/>
      <c r="D30" s="166"/>
      <c r="E30" s="166">
        <f t="shared" ref="E30:M30" si="6">E28/$E$28*100</f>
        <v>100</v>
      </c>
      <c r="F30" s="144">
        <f t="shared" si="6"/>
        <v>12.455479800549508</v>
      </c>
      <c r="G30" s="144">
        <f t="shared" si="6"/>
        <v>54.838709677419352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32.705810522031136</v>
      </c>
      <c r="L30" s="144">
        <f t="shared" si="6"/>
        <v>0</v>
      </c>
      <c r="M30" s="144">
        <f t="shared" si="6"/>
        <v>32.705810522031136</v>
      </c>
      <c r="N30" s="166"/>
      <c r="O30" s="85"/>
    </row>
    <row r="31" spans="1:15" ht="15.75" thickTop="1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5">
      <c r="A32" s="75" t="s">
        <v>24</v>
      </c>
      <c r="B32" s="75" t="s">
        <v>33</v>
      </c>
      <c r="C32" s="171"/>
      <c r="D32" s="171"/>
      <c r="E32" s="171"/>
      <c r="F32" s="171"/>
      <c r="G32" s="171"/>
      <c r="H32" s="171"/>
      <c r="I32" s="75" t="s">
        <v>66</v>
      </c>
      <c r="J32" s="171"/>
      <c r="K32" s="171"/>
      <c r="L32" s="171"/>
      <c r="M32" s="171"/>
      <c r="N32" s="171"/>
    </row>
    <row r="33" spans="1:15">
      <c r="A33" s="75"/>
      <c r="B33" s="75" t="s">
        <v>34</v>
      </c>
      <c r="C33" s="171"/>
      <c r="D33" s="171"/>
      <c r="E33" s="171"/>
      <c r="F33" s="171"/>
      <c r="G33" s="171"/>
      <c r="H33" s="171"/>
      <c r="I33" s="75" t="s">
        <v>67</v>
      </c>
      <c r="J33" s="171"/>
      <c r="K33" s="171"/>
      <c r="L33" s="171"/>
      <c r="M33" s="171"/>
      <c r="N33" s="171"/>
    </row>
    <row r="34" spans="1:15">
      <c r="A34" s="75"/>
      <c r="B34" s="75" t="s">
        <v>35</v>
      </c>
      <c r="C34" s="171"/>
      <c r="D34" s="171"/>
      <c r="E34" s="171"/>
      <c r="F34" s="171"/>
      <c r="G34" s="171"/>
      <c r="H34" s="171"/>
      <c r="I34" s="75" t="s">
        <v>68</v>
      </c>
      <c r="J34" s="171"/>
      <c r="K34" s="171"/>
      <c r="L34" s="171"/>
      <c r="M34" s="171"/>
      <c r="N34" s="171"/>
    </row>
    <row r="35" spans="1:15">
      <c r="A35" s="75"/>
      <c r="B35" s="75" t="s">
        <v>36</v>
      </c>
      <c r="C35" s="171"/>
      <c r="D35" s="171"/>
      <c r="E35" s="171"/>
      <c r="F35" s="171"/>
      <c r="G35" s="171"/>
      <c r="H35" s="171"/>
      <c r="I35" s="75" t="s">
        <v>69</v>
      </c>
      <c r="J35" s="171"/>
      <c r="K35" s="171"/>
      <c r="L35" s="171"/>
      <c r="M35" s="171"/>
      <c r="N35" s="171"/>
    </row>
    <row r="36" spans="1:15">
      <c r="A36" s="76"/>
      <c r="B36" s="171"/>
      <c r="C36" s="171" t="s">
        <v>0</v>
      </c>
      <c r="D36" s="171" t="s">
        <v>0</v>
      </c>
      <c r="E36" s="171" t="s">
        <v>0</v>
      </c>
      <c r="F36" s="171"/>
      <c r="G36" s="171"/>
      <c r="H36" s="171"/>
      <c r="I36" s="75"/>
      <c r="J36" s="171"/>
      <c r="K36" s="171"/>
      <c r="L36" s="171"/>
      <c r="M36" s="171"/>
      <c r="N36" s="171"/>
      <c r="O36" s="77"/>
    </row>
    <row r="37" spans="1:15">
      <c r="A37" s="77"/>
      <c r="C37" s="78" t="s">
        <v>0</v>
      </c>
      <c r="D37" s="78" t="s">
        <v>0</v>
      </c>
      <c r="E37" s="78" t="s">
        <v>0</v>
      </c>
    </row>
    <row r="38" spans="1:15">
      <c r="A38" s="77"/>
      <c r="C38" s="78" t="s">
        <v>0</v>
      </c>
      <c r="D38" s="78" t="s">
        <v>0</v>
      </c>
      <c r="E38" s="78" t="s">
        <v>0</v>
      </c>
    </row>
    <row r="40" spans="1:15" ht="23.25">
      <c r="B40" s="194"/>
      <c r="C40" s="194"/>
      <c r="D40" s="194"/>
      <c r="E40" s="194"/>
      <c r="F40" s="194"/>
      <c r="G40" s="194"/>
      <c r="H40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showOutlineSymbols="0" zoomScale="87" zoomScaleNormal="87" workbookViewId="0">
      <selection activeCell="P19" sqref="P19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  <c r="M3" s="135"/>
      <c r="N3" s="135"/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/>
      <c r="M4" s="135"/>
      <c r="N4" s="135"/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  <c r="M5" s="135"/>
      <c r="N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</row>
    <row r="8" spans="1:15" ht="18">
      <c r="A8" s="8" t="s">
        <v>4</v>
      </c>
      <c r="B8" s="134" t="s">
        <v>89</v>
      </c>
      <c r="C8" s="134"/>
      <c r="D8" s="134"/>
      <c r="E8" s="134"/>
      <c r="F8" s="134"/>
      <c r="G8" s="8" t="s">
        <v>56</v>
      </c>
      <c r="H8" s="134"/>
      <c r="I8" s="134" t="s">
        <v>91</v>
      </c>
      <c r="J8" s="134"/>
      <c r="K8" s="134"/>
      <c r="L8" s="134"/>
      <c r="M8" s="134"/>
      <c r="N8" s="134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18">
        <f>'cout ne'!K9+sup!K9+'frnk pmp'!K9+nap!K9+frnklin!K9</f>
        <v>20335</v>
      </c>
      <c r="L9" s="136"/>
      <c r="M9" s="10" t="s">
        <v>77</v>
      </c>
      <c r="N9" s="119">
        <v>2022</v>
      </c>
    </row>
    <row r="10" spans="1:15" ht="18.75" thickBot="1">
      <c r="A10" s="10" t="s">
        <v>6</v>
      </c>
      <c r="B10" s="136" t="s">
        <v>90</v>
      </c>
      <c r="C10" s="136"/>
      <c r="D10" s="136"/>
      <c r="E10" s="136"/>
      <c r="F10" s="136"/>
      <c r="G10" s="10" t="s">
        <v>58</v>
      </c>
      <c r="H10" s="136"/>
      <c r="I10" s="136"/>
      <c r="J10" s="136"/>
      <c r="K10" s="136"/>
      <c r="L10" s="136"/>
      <c r="M10" s="136"/>
      <c r="N10" s="136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37" t="s">
        <v>78</v>
      </c>
      <c r="N11" s="137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8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126"/>
      <c r="B15" s="126" t="s">
        <v>32</v>
      </c>
      <c r="C15" s="126" t="s">
        <v>40</v>
      </c>
      <c r="D15" s="126" t="s">
        <v>32</v>
      </c>
      <c r="E15" s="126"/>
      <c r="F15" s="126" t="s">
        <v>55</v>
      </c>
      <c r="G15" s="126" t="s">
        <v>60</v>
      </c>
      <c r="H15" s="126" t="s">
        <v>62</v>
      </c>
      <c r="I15" s="201"/>
      <c r="J15" s="126"/>
      <c r="K15" s="131" t="s">
        <v>93</v>
      </c>
      <c r="L15" s="126" t="s">
        <v>76</v>
      </c>
      <c r="M15" s="126" t="s">
        <v>21</v>
      </c>
      <c r="N15" s="124" t="s">
        <v>81</v>
      </c>
      <c r="O15" s="17"/>
    </row>
    <row r="16" spans="1:15">
      <c r="A16" s="139" t="s">
        <v>9</v>
      </c>
      <c r="B16" s="154">
        <f>frnklin!B16+'frnk pmp'!B16+nap!B16+sup!B16+'cout ne'!B16</f>
        <v>0</v>
      </c>
      <c r="C16" s="202">
        <f>frnklin!C16+'frnk pmp'!C16+nap!C16+sup!C16+'cout ne'!C16</f>
        <v>0</v>
      </c>
      <c r="D16" s="202">
        <f>frnklin!D16+'frnk pmp'!D16+nap!D16+sup!D16+'cout ne'!D16</f>
        <v>0</v>
      </c>
      <c r="E16" s="141">
        <f t="shared" ref="E16:E27" si="0">B16+C16-D16</f>
        <v>0</v>
      </c>
      <c r="F16" s="181">
        <f>frnklin!F16+'frnk pmp'!F16+nap!F16+sup!F16+'cout ne'!F16</f>
        <v>0</v>
      </c>
      <c r="G16" s="141">
        <f t="shared" ref="G16:G28" si="1">E16-F16-H16-K16</f>
        <v>0</v>
      </c>
      <c r="H16" s="181">
        <f>frnklin!H16+'frnk pmp'!H16+nap!H16+sup!H16+'cout ne'!H16</f>
        <v>0</v>
      </c>
      <c r="I16" s="202">
        <f>frnklin!I16+'frnk pmp'!I16+nap!I16+sup!I16+'cout ne'!I16</f>
        <v>0</v>
      </c>
      <c r="J16" s="141">
        <f t="shared" ref="J16:J28" si="2">H16-I16-L16</f>
        <v>0</v>
      </c>
      <c r="K16" s="214">
        <f>frnklin!K16+'frnk pmp'!K16+nap!K16+sup!K16+'cout ne'!K16</f>
        <v>0</v>
      </c>
      <c r="L16" s="214">
        <f>frnklin!L16+'frnk pmp'!L16+nap!L16+sup!L16+'cout ne'!L16</f>
        <v>0</v>
      </c>
      <c r="M16" s="141">
        <f t="shared" ref="M16:M27" si="3">SUM(K16:L16)</f>
        <v>0</v>
      </c>
      <c r="N16" s="139">
        <f t="shared" ref="N16:N28" si="4">ROUND(+M16/$K$9,3)</f>
        <v>0</v>
      </c>
      <c r="O16" s="17"/>
    </row>
    <row r="17" spans="1:15">
      <c r="A17" s="139" t="s">
        <v>10</v>
      </c>
      <c r="B17" s="154">
        <f>frnklin!B17+'frnk pmp'!B17+nap!B17+sup!B17+'cout ne'!B17</f>
        <v>0</v>
      </c>
      <c r="C17" s="202">
        <f>frnklin!C17+'frnk pmp'!C17+nap!C17+sup!C17+'cout ne'!C17</f>
        <v>0</v>
      </c>
      <c r="D17" s="202">
        <f>frnklin!D17+'frnk pmp'!D17+nap!D17+sup!D17+'cout ne'!D17</f>
        <v>0</v>
      </c>
      <c r="E17" s="141">
        <f t="shared" si="0"/>
        <v>0</v>
      </c>
      <c r="F17" s="181">
        <f>frnklin!F17+'frnk pmp'!F17+nap!F17+sup!F17+'cout ne'!F17</f>
        <v>0</v>
      </c>
      <c r="G17" s="141">
        <f t="shared" si="1"/>
        <v>0</v>
      </c>
      <c r="H17" s="181">
        <f>frnklin!H17+'frnk pmp'!H17+nap!H17+sup!H17+'cout ne'!H17</f>
        <v>0</v>
      </c>
      <c r="I17" s="202">
        <f>frnklin!I17+'frnk pmp'!I17+nap!I17+sup!I17+'cout ne'!I17</f>
        <v>0</v>
      </c>
      <c r="J17" s="141">
        <f t="shared" si="2"/>
        <v>0</v>
      </c>
      <c r="K17" s="214">
        <f>frnklin!K17+'frnk pmp'!K17+nap!K17+sup!K17+'cout ne'!K17</f>
        <v>0</v>
      </c>
      <c r="L17" s="214">
        <f>frnklin!L17+'frnk pmp'!L17+nap!L17+sup!L17+'cout ne'!L17</f>
        <v>0</v>
      </c>
      <c r="M17" s="141">
        <f t="shared" si="3"/>
        <v>0</v>
      </c>
      <c r="N17" s="139">
        <f t="shared" si="4"/>
        <v>0</v>
      </c>
      <c r="O17" s="17"/>
    </row>
    <row r="18" spans="1:15">
      <c r="A18" s="139" t="s">
        <v>11</v>
      </c>
      <c r="B18" s="154">
        <f>frnklin!B18+'frnk pmp'!B18+nap!B18+sup!B18+'cout ne'!B18</f>
        <v>0</v>
      </c>
      <c r="C18" s="202">
        <f>frnklin!C18+'frnk pmp'!C18+nap!C18+sup!C18+'cout ne'!C18</f>
        <v>0</v>
      </c>
      <c r="D18" s="202">
        <f>frnklin!D18+'frnk pmp'!D18+nap!D18+sup!D18+'cout ne'!D18</f>
        <v>0</v>
      </c>
      <c r="E18" s="141">
        <f t="shared" si="0"/>
        <v>0</v>
      </c>
      <c r="F18" s="181">
        <f>frnklin!F18+'frnk pmp'!F18+nap!F18+sup!F18+'cout ne'!F18</f>
        <v>0</v>
      </c>
      <c r="G18" s="141">
        <f t="shared" si="1"/>
        <v>0</v>
      </c>
      <c r="H18" s="181">
        <f>frnklin!H18+'frnk pmp'!H18+nap!H18+sup!H18+'cout ne'!H18</f>
        <v>0</v>
      </c>
      <c r="I18" s="202">
        <f>frnklin!I18+'frnk pmp'!I18+nap!I18+sup!I18+'cout ne'!I18</f>
        <v>0</v>
      </c>
      <c r="J18" s="141">
        <f t="shared" si="2"/>
        <v>0</v>
      </c>
      <c r="K18" s="214">
        <f>frnklin!K18+'frnk pmp'!K18+nap!K18+sup!K18+'cout ne'!K18</f>
        <v>0</v>
      </c>
      <c r="L18" s="214">
        <f>frnklin!L18+'frnk pmp'!L18+nap!L18+sup!L18+'cout ne'!L18</f>
        <v>0</v>
      </c>
      <c r="M18" s="141">
        <f t="shared" si="3"/>
        <v>0</v>
      </c>
      <c r="N18" s="139">
        <f t="shared" si="4"/>
        <v>0</v>
      </c>
      <c r="O18" s="17"/>
    </row>
    <row r="19" spans="1:15">
      <c r="A19" s="139" t="s">
        <v>12</v>
      </c>
      <c r="B19" s="154">
        <f>frnklin!B19+'frnk pmp'!B19+nap!B19+sup!B19+'cout ne'!B19</f>
        <v>0</v>
      </c>
      <c r="C19" s="202">
        <f>frnklin!C19+'frnk pmp'!C19+nap!C19+sup!C19+'cout ne'!C19</f>
        <v>0</v>
      </c>
      <c r="D19" s="202">
        <f>frnklin!D19+'frnk pmp'!D19+nap!D19+sup!D19+'cout ne'!D19</f>
        <v>0</v>
      </c>
      <c r="E19" s="141">
        <f t="shared" si="0"/>
        <v>0</v>
      </c>
      <c r="F19" s="181">
        <f>frnklin!F19+'frnk pmp'!F19+nap!F19+sup!F19+'cout ne'!F19</f>
        <v>0</v>
      </c>
      <c r="G19" s="141">
        <f t="shared" si="1"/>
        <v>0</v>
      </c>
      <c r="H19" s="181">
        <f>frnklin!H19+'frnk pmp'!H19+nap!H19+sup!H19+'cout ne'!H19</f>
        <v>0</v>
      </c>
      <c r="I19" s="202">
        <f>frnklin!I19+'frnk pmp'!I19+nap!I19+sup!I19+'cout ne'!I19</f>
        <v>0</v>
      </c>
      <c r="J19" s="141">
        <f t="shared" si="2"/>
        <v>0</v>
      </c>
      <c r="K19" s="214">
        <f>frnklin!K19+'frnk pmp'!K19+nap!K19+sup!K19+'cout ne'!K19</f>
        <v>0</v>
      </c>
      <c r="L19" s="214">
        <f>frnklin!L19+'frnk pmp'!L19+nap!L19+sup!L19+'cout ne'!L19</f>
        <v>0</v>
      </c>
      <c r="M19" s="141">
        <f t="shared" si="3"/>
        <v>0</v>
      </c>
      <c r="N19" s="139">
        <f t="shared" si="4"/>
        <v>0</v>
      </c>
      <c r="O19" s="17"/>
    </row>
    <row r="20" spans="1:15">
      <c r="A20" s="139" t="s">
        <v>13</v>
      </c>
      <c r="B20" s="154">
        <f>frnklin!B20+'frnk pmp'!B20+nap!B20+sup!B20+'cout ne'!B20</f>
        <v>0</v>
      </c>
      <c r="C20" s="202">
        <f>frnklin!C20+'frnk pmp'!C20+nap!C20+sup!C20+'cout ne'!C20</f>
        <v>0</v>
      </c>
      <c r="D20" s="202">
        <f>frnklin!D20+'frnk pmp'!D20+nap!D20+sup!D20+'cout ne'!D20</f>
        <v>0</v>
      </c>
      <c r="E20" s="141">
        <f t="shared" si="0"/>
        <v>0</v>
      </c>
      <c r="F20" s="181">
        <f>frnklin!F20+'frnk pmp'!F20+nap!F20+sup!F20+'cout ne'!F20</f>
        <v>0</v>
      </c>
      <c r="G20" s="141">
        <f t="shared" si="1"/>
        <v>0</v>
      </c>
      <c r="H20" s="181">
        <f>frnklin!H20+'frnk pmp'!H20+nap!H20+sup!H20+'cout ne'!H20</f>
        <v>0</v>
      </c>
      <c r="I20" s="202">
        <f>frnklin!I20+'frnk pmp'!I20+nap!I20+sup!I20+'cout ne'!I20</f>
        <v>0</v>
      </c>
      <c r="J20" s="141">
        <f t="shared" si="2"/>
        <v>0</v>
      </c>
      <c r="K20" s="214">
        <f>frnklin!K20+'frnk pmp'!K20+nap!K20+sup!K20+'cout ne'!K20</f>
        <v>0</v>
      </c>
      <c r="L20" s="214">
        <f>frnklin!L20+'frnk pmp'!L20+nap!L20+sup!L20+'cout ne'!L20</f>
        <v>0</v>
      </c>
      <c r="M20" s="141">
        <f t="shared" si="3"/>
        <v>0</v>
      </c>
      <c r="N20" s="139">
        <f t="shared" si="4"/>
        <v>0</v>
      </c>
      <c r="O20" s="17"/>
    </row>
    <row r="21" spans="1:15">
      <c r="A21" s="139" t="s">
        <v>14</v>
      </c>
      <c r="B21" s="154">
        <f>frnklin!B21+'frnk pmp'!B21+nap!B21+sup!B21+'cout ne'!B21</f>
        <v>6595</v>
      </c>
      <c r="C21" s="202">
        <f>frnklin!C21+'frnk pmp'!C21+nap!C21+sup!C21+'cout ne'!C21</f>
        <v>0</v>
      </c>
      <c r="D21" s="202">
        <f>frnklin!D21+'frnk pmp'!D21+nap!D21+sup!D21+'cout ne'!D21</f>
        <v>0</v>
      </c>
      <c r="E21" s="141">
        <f t="shared" si="0"/>
        <v>6595</v>
      </c>
      <c r="F21" s="181">
        <f>frnklin!F21+'frnk pmp'!F21+nap!F21+sup!F21+'cout ne'!F21</f>
        <v>1068</v>
      </c>
      <c r="G21" s="141">
        <f t="shared" si="1"/>
        <v>5123</v>
      </c>
      <c r="H21" s="181">
        <f>frnklin!H21+'frnk pmp'!H21+nap!H21+sup!H21+'cout ne'!H21</f>
        <v>0</v>
      </c>
      <c r="I21" s="202">
        <f>frnklin!I21+'frnk pmp'!I21+nap!I21+sup!I21+'cout ne'!I21</f>
        <v>0</v>
      </c>
      <c r="J21" s="141">
        <f t="shared" si="2"/>
        <v>0</v>
      </c>
      <c r="K21" s="214">
        <f>frnklin!K21+'frnk pmp'!K21+nap!K21+sup!K21+'cout ne'!K21</f>
        <v>404</v>
      </c>
      <c r="L21" s="214">
        <f>frnklin!L21+'frnk pmp'!L21+nap!L21+sup!L21+'cout ne'!L21</f>
        <v>0</v>
      </c>
      <c r="M21" s="141">
        <f t="shared" si="3"/>
        <v>404</v>
      </c>
      <c r="N21" s="139">
        <f t="shared" si="4"/>
        <v>0.02</v>
      </c>
      <c r="O21" s="17"/>
    </row>
    <row r="22" spans="1:15">
      <c r="A22" s="139" t="s">
        <v>15</v>
      </c>
      <c r="B22" s="154">
        <f>frnklin!B22+'frnk pmp'!B22+nap!B22+sup!B22+'cout ne'!B22</f>
        <v>11775</v>
      </c>
      <c r="C22" s="202">
        <f>frnklin!C22+'frnk pmp'!C22+nap!C22+sup!C22+'cout ne'!C22</f>
        <v>0</v>
      </c>
      <c r="D22" s="202">
        <f>frnklin!D22+'frnk pmp'!D22+nap!D22+sup!D22+'cout ne'!D22</f>
        <v>0</v>
      </c>
      <c r="E22" s="141">
        <f t="shared" si="0"/>
        <v>11775</v>
      </c>
      <c r="F22" s="181">
        <f>frnklin!F22+'frnk pmp'!F22+nap!F22+sup!F22+'cout ne'!F22</f>
        <v>1116</v>
      </c>
      <c r="G22" s="141">
        <f t="shared" si="1"/>
        <v>6465</v>
      </c>
      <c r="H22" s="181">
        <f>frnklin!H22+'frnk pmp'!H22+nap!H22+sup!H22+'cout ne'!H22</f>
        <v>0</v>
      </c>
      <c r="I22" s="202">
        <f>frnklin!I22+'frnk pmp'!I22+nap!I22+sup!I22+'cout ne'!I22</f>
        <v>0</v>
      </c>
      <c r="J22" s="141">
        <f t="shared" si="2"/>
        <v>0</v>
      </c>
      <c r="K22" s="214">
        <f>frnklin!K22+'frnk pmp'!K22+nap!K22+sup!K22+'cout ne'!K22</f>
        <v>4194</v>
      </c>
      <c r="L22" s="214">
        <f>frnklin!L22+'frnk pmp'!L22+nap!L22+sup!L22+'cout ne'!L22</f>
        <v>0</v>
      </c>
      <c r="M22" s="141">
        <f t="shared" si="3"/>
        <v>4194</v>
      </c>
      <c r="N22" s="139">
        <f t="shared" si="4"/>
        <v>0.20599999999999999</v>
      </c>
      <c r="O22" s="17"/>
    </row>
    <row r="23" spans="1:15">
      <c r="A23" s="139" t="s">
        <v>16</v>
      </c>
      <c r="B23" s="154">
        <f>frnklin!B23+'frnk pmp'!B23+nap!B23+sup!B23+'cout ne'!B23</f>
        <v>16825</v>
      </c>
      <c r="C23" s="202">
        <f>frnklin!C23+'frnk pmp'!C23+nap!C23+sup!C23+'cout ne'!C23</f>
        <v>0</v>
      </c>
      <c r="D23" s="202">
        <f>frnklin!D23+'frnk pmp'!D23+nap!D23+sup!D23+'cout ne'!D23</f>
        <v>0</v>
      </c>
      <c r="E23" s="141">
        <f t="shared" si="0"/>
        <v>16825</v>
      </c>
      <c r="F23" s="181">
        <f>frnklin!F23+'frnk pmp'!F23+nap!F23+sup!F23+'cout ne'!F23</f>
        <v>1735</v>
      </c>
      <c r="G23" s="141">
        <f t="shared" si="1"/>
        <v>9565</v>
      </c>
      <c r="H23" s="181">
        <f>frnklin!H23+'frnk pmp'!H23+nap!H23+sup!H23+'cout ne'!H23</f>
        <v>0</v>
      </c>
      <c r="I23" s="202">
        <f>frnklin!I23+'frnk pmp'!I23+nap!I23+sup!I23+'cout ne'!I23</f>
        <v>0</v>
      </c>
      <c r="J23" s="141">
        <f t="shared" si="2"/>
        <v>0</v>
      </c>
      <c r="K23" s="214">
        <f>frnklin!K23+'frnk pmp'!K23+nap!K23+sup!K23+'cout ne'!K23</f>
        <v>5525</v>
      </c>
      <c r="L23" s="214">
        <f>frnklin!L23+'frnk pmp'!L23+nap!L23+sup!L23+'cout ne'!L23</f>
        <v>0</v>
      </c>
      <c r="M23" s="141">
        <f t="shared" si="3"/>
        <v>5525</v>
      </c>
      <c r="N23" s="139">
        <f t="shared" si="4"/>
        <v>0.27200000000000002</v>
      </c>
      <c r="O23" s="17"/>
    </row>
    <row r="24" spans="1:15">
      <c r="A24" s="139" t="s">
        <v>17</v>
      </c>
      <c r="B24" s="154">
        <f>frnklin!B24+'frnk pmp'!B24+nap!B24+sup!B24+'cout ne'!B24</f>
        <v>4208</v>
      </c>
      <c r="C24" s="202">
        <f>frnklin!C24+'frnk pmp'!C24+nap!C24+sup!C24+'cout ne'!C24</f>
        <v>0</v>
      </c>
      <c r="D24" s="202">
        <f>frnklin!D24+'frnk pmp'!D24+nap!D24+sup!D24+'cout ne'!D24</f>
        <v>0</v>
      </c>
      <c r="E24" s="141">
        <f t="shared" si="0"/>
        <v>4208</v>
      </c>
      <c r="F24" s="181">
        <f>frnklin!F24+'frnk pmp'!F24+nap!F24+sup!F24+'cout ne'!F24</f>
        <v>374</v>
      </c>
      <c r="G24" s="141">
        <f t="shared" si="1"/>
        <v>399</v>
      </c>
      <c r="H24" s="181">
        <f>frnklin!H24+'frnk pmp'!H24+nap!H24+sup!H24+'cout ne'!H24</f>
        <v>0</v>
      </c>
      <c r="I24" s="202">
        <f>frnklin!I24+'frnk pmp'!I24+nap!I24+sup!I24+'cout ne'!I24</f>
        <v>0</v>
      </c>
      <c r="J24" s="141">
        <f t="shared" si="2"/>
        <v>0</v>
      </c>
      <c r="K24" s="214">
        <f>frnklin!K24+'frnk pmp'!K24+nap!K24+sup!K24+'cout ne'!K24</f>
        <v>3435</v>
      </c>
      <c r="L24" s="214">
        <f>frnklin!L24+'frnk pmp'!L24+nap!L24+sup!L24+'cout ne'!L24</f>
        <v>0</v>
      </c>
      <c r="M24" s="141">
        <f t="shared" si="3"/>
        <v>3435</v>
      </c>
      <c r="N24" s="139">
        <f t="shared" si="4"/>
        <v>0.16900000000000001</v>
      </c>
      <c r="O24" s="17"/>
    </row>
    <row r="25" spans="1:15">
      <c r="A25" s="139" t="s">
        <v>18</v>
      </c>
      <c r="B25" s="154">
        <f>frnklin!B25+'frnk pmp'!B25+nap!B25+sup!B25+'cout ne'!B25</f>
        <v>0</v>
      </c>
      <c r="C25" s="202">
        <f>frnklin!C25+'frnk pmp'!C25+nap!C25+sup!C25+'cout ne'!C25</f>
        <v>0</v>
      </c>
      <c r="D25" s="202">
        <f>frnklin!D25+'frnk pmp'!D25+nap!D25+sup!D25+'cout ne'!D25</f>
        <v>0</v>
      </c>
      <c r="E25" s="141">
        <f t="shared" si="0"/>
        <v>0</v>
      </c>
      <c r="F25" s="181">
        <f>frnklin!F25+'frnk pmp'!F25+nap!F25+sup!F25+'cout ne'!F25</f>
        <v>0</v>
      </c>
      <c r="G25" s="141">
        <f t="shared" si="1"/>
        <v>0</v>
      </c>
      <c r="H25" s="181">
        <f>frnklin!H25+'frnk pmp'!H25+nap!H25+sup!H25+'cout ne'!H25</f>
        <v>0</v>
      </c>
      <c r="I25" s="202">
        <f>frnklin!I25+'frnk pmp'!I25+nap!I25+sup!I25+'cout ne'!I25</f>
        <v>0</v>
      </c>
      <c r="J25" s="141">
        <f t="shared" si="2"/>
        <v>0</v>
      </c>
      <c r="K25" s="214">
        <f>frnklin!K25+'frnk pmp'!K25+nap!K25+sup!K25+'cout ne'!K25</f>
        <v>0</v>
      </c>
      <c r="L25" s="214">
        <f>frnklin!L25+'frnk pmp'!L25+nap!L25+sup!L25+'cout ne'!L25</f>
        <v>0</v>
      </c>
      <c r="M25" s="141">
        <f t="shared" si="3"/>
        <v>0</v>
      </c>
      <c r="N25" s="139">
        <f t="shared" si="4"/>
        <v>0</v>
      </c>
      <c r="O25" s="17"/>
    </row>
    <row r="26" spans="1:15">
      <c r="A26" s="139" t="s">
        <v>19</v>
      </c>
      <c r="B26" s="154">
        <f>frnklin!B26+'frnk pmp'!B26+nap!B26+sup!B26+'cout ne'!B26</f>
        <v>0</v>
      </c>
      <c r="C26" s="202">
        <f>frnklin!C26+'frnk pmp'!C26+nap!C26+sup!C26+'cout ne'!C26</f>
        <v>0</v>
      </c>
      <c r="D26" s="202">
        <f>frnklin!D26+'frnk pmp'!D26+nap!D26+sup!D26+'cout ne'!D26</f>
        <v>0</v>
      </c>
      <c r="E26" s="141">
        <f t="shared" si="0"/>
        <v>0</v>
      </c>
      <c r="F26" s="181">
        <f>frnklin!F26+'frnk pmp'!F26+nap!F26+sup!F26+'cout ne'!F26</f>
        <v>0</v>
      </c>
      <c r="G26" s="141">
        <f t="shared" si="1"/>
        <v>0</v>
      </c>
      <c r="H26" s="181">
        <f>frnklin!H26+'frnk pmp'!H26+nap!H26+sup!H26+'cout ne'!H26</f>
        <v>0</v>
      </c>
      <c r="I26" s="202">
        <f>frnklin!I26+'frnk pmp'!I26+nap!I26+sup!I26+'cout ne'!I26</f>
        <v>0</v>
      </c>
      <c r="J26" s="141">
        <f t="shared" si="2"/>
        <v>0</v>
      </c>
      <c r="K26" s="214">
        <f>frnklin!K26+'frnk pmp'!K26+nap!K26+sup!K26+'cout ne'!K26</f>
        <v>0</v>
      </c>
      <c r="L26" s="214">
        <f>frnklin!L26+'frnk pmp'!L26+nap!L26+sup!L26+'cout ne'!L26</f>
        <v>0</v>
      </c>
      <c r="M26" s="141">
        <f t="shared" si="3"/>
        <v>0</v>
      </c>
      <c r="N26" s="139">
        <f t="shared" si="4"/>
        <v>0</v>
      </c>
      <c r="O26" s="17"/>
    </row>
    <row r="27" spans="1:15">
      <c r="A27" s="139" t="s">
        <v>20</v>
      </c>
      <c r="B27" s="154">
        <f>frnklin!B27+'frnk pmp'!B27+nap!B27+sup!B27+'cout ne'!B27</f>
        <v>0</v>
      </c>
      <c r="C27" s="202">
        <f>frnklin!C27+'frnk pmp'!C27+nap!C27+sup!C27+'cout ne'!C27</f>
        <v>0</v>
      </c>
      <c r="D27" s="202">
        <f>frnklin!D27+'frnk pmp'!D27+nap!D27+sup!D27+'cout ne'!D27</f>
        <v>0</v>
      </c>
      <c r="E27" s="141">
        <f t="shared" si="0"/>
        <v>0</v>
      </c>
      <c r="F27" s="181">
        <f>frnklin!F27+'frnk pmp'!F27+nap!F27+sup!F27+'cout ne'!F27</f>
        <v>0</v>
      </c>
      <c r="G27" s="141">
        <f t="shared" si="1"/>
        <v>0</v>
      </c>
      <c r="H27" s="181">
        <f>frnklin!H27+'frnk pmp'!H27+nap!H27+sup!H27+'cout ne'!H27</f>
        <v>0</v>
      </c>
      <c r="I27" s="202">
        <f>frnklin!I27+'frnk pmp'!I27+nap!I27+sup!I27+'cout ne'!I27</f>
        <v>0</v>
      </c>
      <c r="J27" s="141">
        <f t="shared" si="2"/>
        <v>0</v>
      </c>
      <c r="K27" s="214">
        <f>frnklin!K27+'frnk pmp'!K27+nap!K27+sup!K27+'cout ne'!K27</f>
        <v>0</v>
      </c>
      <c r="L27" s="214">
        <f>frnklin!L27+'frnk pmp'!L27+nap!L27+sup!L27+'cout ne'!L27</f>
        <v>0</v>
      </c>
      <c r="M27" s="141">
        <f t="shared" si="3"/>
        <v>0</v>
      </c>
      <c r="N27" s="139">
        <f t="shared" si="4"/>
        <v>0</v>
      </c>
      <c r="O27" s="17"/>
    </row>
    <row r="28" spans="1:15" ht="15.75" thickBot="1">
      <c r="A28" s="139" t="s">
        <v>21</v>
      </c>
      <c r="B28" s="154">
        <f>frnklin!B28+'frnk pmp'!B28+nap!B28+sup!B28+'cout ne'!B28</f>
        <v>39403</v>
      </c>
      <c r="C28" s="157">
        <f>SUM(C16:C27)</f>
        <v>0</v>
      </c>
      <c r="D28" s="157">
        <f>SUM(D16:D27)</f>
        <v>0</v>
      </c>
      <c r="E28" s="157">
        <f>SUM(E16:E27)</f>
        <v>39403</v>
      </c>
      <c r="F28" s="219">
        <f>frnklin!F28+'frnk pmp'!F28+nap!F28+sup!F28+'cout ne'!F28</f>
        <v>4293</v>
      </c>
      <c r="G28" s="157">
        <f t="shared" si="1"/>
        <v>21552</v>
      </c>
      <c r="H28" s="219">
        <f>frnklin!H28+'frnk pmp'!H28+nap!H28+sup!H28+'cout ne'!H28</f>
        <v>0</v>
      </c>
      <c r="I28" s="157">
        <f>SUM(I16:I27)</f>
        <v>0</v>
      </c>
      <c r="J28" s="157">
        <f t="shared" si="2"/>
        <v>0</v>
      </c>
      <c r="K28" s="219">
        <f>frnklin!K28+'frnk pmp'!K28+nap!K28+sup!K28+'cout ne'!K28</f>
        <v>13558</v>
      </c>
      <c r="L28" s="219">
        <f>frnklin!L28+'frnk pmp'!L28+nap!L28+sup!L28+'cout ne'!L28</f>
        <v>0</v>
      </c>
      <c r="M28" s="157">
        <f>SUM(M16:M27)</f>
        <v>13558</v>
      </c>
      <c r="N28" s="142">
        <f t="shared" si="4"/>
        <v>0.66700000000000004</v>
      </c>
      <c r="O28" s="17"/>
    </row>
    <row r="29" spans="1:15" ht="15.75" thickTop="1">
      <c r="A29" s="137" t="s">
        <v>22</v>
      </c>
      <c r="B29" s="137"/>
      <c r="C29" s="137"/>
      <c r="D29" s="137"/>
      <c r="E29" s="143">
        <f t="shared" ref="E29:M29" si="5">ROUND(+E28/$K$9,2)</f>
        <v>1.94</v>
      </c>
      <c r="F29" s="143">
        <f t="shared" si="5"/>
        <v>0.21</v>
      </c>
      <c r="G29" s="143">
        <f t="shared" si="5"/>
        <v>1.06</v>
      </c>
      <c r="H29" s="143">
        <f t="shared" si="5"/>
        <v>0</v>
      </c>
      <c r="I29" s="143">
        <f t="shared" si="5"/>
        <v>0</v>
      </c>
      <c r="J29" s="143">
        <f t="shared" si="5"/>
        <v>0</v>
      </c>
      <c r="K29" s="143">
        <f t="shared" si="5"/>
        <v>0.67</v>
      </c>
      <c r="L29" s="143">
        <f t="shared" si="5"/>
        <v>0</v>
      </c>
      <c r="M29" s="143">
        <f t="shared" si="5"/>
        <v>0.67</v>
      </c>
      <c r="N29" s="137"/>
      <c r="O29" s="17"/>
    </row>
    <row r="30" spans="1:15" ht="15.75" thickBot="1">
      <c r="A30" s="139" t="s">
        <v>23</v>
      </c>
      <c r="B30" s="139"/>
      <c r="C30" s="139"/>
      <c r="D30" s="139"/>
      <c r="E30" s="144">
        <f t="shared" ref="E30:M30" si="6">E28/$E$28*100</f>
        <v>100</v>
      </c>
      <c r="F30" s="144">
        <f t="shared" si="6"/>
        <v>10.895109509428217</v>
      </c>
      <c r="G30" s="144">
        <f t="shared" si="6"/>
        <v>54.696342918051919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34.408547572519858</v>
      </c>
      <c r="L30" s="144">
        <f t="shared" si="6"/>
        <v>0</v>
      </c>
      <c r="M30" s="144">
        <f t="shared" si="6"/>
        <v>34.408547572519858</v>
      </c>
      <c r="N30" s="139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5"/>
      <c r="I36" s="24"/>
      <c r="J36" s="135"/>
      <c r="K36" s="135"/>
      <c r="L36" s="135"/>
      <c r="M36" s="135"/>
      <c r="N36" s="135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5">
      <c r="A38" s="7"/>
      <c r="C38" s="1" t="s">
        <v>0</v>
      </c>
      <c r="D38" s="1" t="s">
        <v>0</v>
      </c>
      <c r="E38" s="165" t="s">
        <v>0</v>
      </c>
    </row>
    <row r="40" spans="1:15" ht="23.25">
      <c r="B40" s="1" t="s">
        <v>0</v>
      </c>
      <c r="C40" s="192"/>
      <c r="D40" s="192"/>
      <c r="E40" s="192"/>
      <c r="F40" s="192"/>
      <c r="G40" s="192"/>
      <c r="H40" s="192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8"/>
  <sheetViews>
    <sheetView tabSelected="1" showOutlineSymbols="0" topLeftCell="A7" zoomScale="87" zoomScaleNormal="87" workbookViewId="0">
      <selection activeCell="K25" sqref="K25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  <c r="M3" s="135"/>
      <c r="N3" s="135"/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/>
      <c r="M4" s="135"/>
      <c r="N4" s="135"/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  <c r="M5" s="135"/>
      <c r="N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</row>
    <row r="8" spans="1:15" ht="18">
      <c r="A8" s="8" t="s">
        <v>4</v>
      </c>
      <c r="B8" s="134" t="s">
        <v>183</v>
      </c>
      <c r="C8" s="134"/>
      <c r="D8" s="134"/>
      <c r="E8" s="134"/>
      <c r="F8" s="134"/>
      <c r="G8" s="8" t="s">
        <v>56</v>
      </c>
      <c r="H8" s="134"/>
      <c r="I8" s="134" t="s">
        <v>91</v>
      </c>
      <c r="J8" s="134"/>
      <c r="K8" s="134"/>
      <c r="L8" s="134"/>
      <c r="M8" s="134"/>
      <c r="N8" s="134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18">
        <v>1634</v>
      </c>
      <c r="L9" s="136"/>
      <c r="M9" s="10" t="s">
        <v>77</v>
      </c>
      <c r="N9" s="119">
        <v>2022</v>
      </c>
    </row>
    <row r="10" spans="1:15" ht="18.75" thickBot="1">
      <c r="A10" s="10" t="s">
        <v>6</v>
      </c>
      <c r="B10" s="136" t="s">
        <v>87</v>
      </c>
      <c r="C10" s="136"/>
      <c r="D10" s="136"/>
      <c r="E10" s="136"/>
      <c r="F10" s="136"/>
      <c r="G10" s="10" t="s">
        <v>58</v>
      </c>
      <c r="H10" s="136"/>
      <c r="I10" s="136"/>
      <c r="J10" s="136"/>
      <c r="K10" s="136"/>
      <c r="L10" s="136"/>
      <c r="M10" s="136"/>
      <c r="N10" s="136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37" t="s">
        <v>78</v>
      </c>
      <c r="N11" s="137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8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 ht="15.75" thickBot="1">
      <c r="A15" s="186"/>
      <c r="B15" s="186" t="s">
        <v>32</v>
      </c>
      <c r="C15" s="186" t="s">
        <v>40</v>
      </c>
      <c r="D15" s="186" t="s">
        <v>32</v>
      </c>
      <c r="E15" s="186"/>
      <c r="F15" s="186" t="s">
        <v>55</v>
      </c>
      <c r="G15" s="186" t="s">
        <v>60</v>
      </c>
      <c r="H15" s="186" t="s">
        <v>62</v>
      </c>
      <c r="I15" s="187"/>
      <c r="J15" s="186"/>
      <c r="K15" s="186" t="s">
        <v>93</v>
      </c>
      <c r="L15" s="186" t="s">
        <v>76</v>
      </c>
      <c r="M15" s="186" t="s">
        <v>21</v>
      </c>
      <c r="N15" s="185" t="s">
        <v>81</v>
      </c>
      <c r="O15" s="17"/>
    </row>
    <row r="16" spans="1:15">
      <c r="A16" s="139" t="s">
        <v>9</v>
      </c>
      <c r="B16" s="202">
        <v>0</v>
      </c>
      <c r="C16" s="202">
        <v>0</v>
      </c>
      <c r="D16" s="202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10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41">
        <f t="shared" ref="M16:M27" si="3">SUM(K16:L16)</f>
        <v>0</v>
      </c>
      <c r="N16" s="139">
        <f t="shared" ref="N16:N28" si="4">ROUND(+M16/$K$9,3)</f>
        <v>0</v>
      </c>
      <c r="O16" s="17"/>
    </row>
    <row r="17" spans="1:15">
      <c r="A17" s="139" t="s">
        <v>10</v>
      </c>
      <c r="B17" s="202">
        <v>0</v>
      </c>
      <c r="C17" s="202">
        <v>0</v>
      </c>
      <c r="D17" s="202">
        <v>0</v>
      </c>
      <c r="E17" s="141">
        <f t="shared" si="0"/>
        <v>0</v>
      </c>
      <c r="F17" s="110">
        <v>0</v>
      </c>
      <c r="G17" s="141">
        <f t="shared" si="1"/>
        <v>0</v>
      </c>
      <c r="H17" s="110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41">
        <f t="shared" si="3"/>
        <v>0</v>
      </c>
      <c r="N17" s="139">
        <f t="shared" si="4"/>
        <v>0</v>
      </c>
      <c r="O17" s="17"/>
    </row>
    <row r="18" spans="1:15">
      <c r="A18" s="139" t="s">
        <v>11</v>
      </c>
      <c r="B18" s="202">
        <v>0</v>
      </c>
      <c r="C18" s="202">
        <v>0</v>
      </c>
      <c r="D18" s="202">
        <v>0</v>
      </c>
      <c r="E18" s="141">
        <f t="shared" si="0"/>
        <v>0</v>
      </c>
      <c r="F18" s="110">
        <v>0</v>
      </c>
      <c r="G18" s="141">
        <f t="shared" si="1"/>
        <v>0</v>
      </c>
      <c r="H18" s="110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41">
        <f t="shared" si="3"/>
        <v>0</v>
      </c>
      <c r="N18" s="139">
        <f t="shared" si="4"/>
        <v>0</v>
      </c>
      <c r="O18" s="17"/>
    </row>
    <row r="19" spans="1:15">
      <c r="A19" s="139" t="s">
        <v>12</v>
      </c>
      <c r="B19" s="202">
        <v>0</v>
      </c>
      <c r="C19" s="202">
        <v>0</v>
      </c>
      <c r="D19" s="202">
        <v>0</v>
      </c>
      <c r="E19" s="141">
        <f t="shared" si="0"/>
        <v>0</v>
      </c>
      <c r="F19" s="110">
        <v>0</v>
      </c>
      <c r="G19" s="141">
        <f t="shared" si="1"/>
        <v>0</v>
      </c>
      <c r="H19" s="110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41">
        <f t="shared" si="3"/>
        <v>0</v>
      </c>
      <c r="N19" s="139">
        <f t="shared" si="4"/>
        <v>0</v>
      </c>
      <c r="O19" s="17"/>
    </row>
    <row r="20" spans="1:15">
      <c r="A20" s="139" t="s">
        <v>13</v>
      </c>
      <c r="B20" s="202">
        <v>0</v>
      </c>
      <c r="C20" s="202">
        <v>0</v>
      </c>
      <c r="D20" s="202">
        <v>0</v>
      </c>
      <c r="E20" s="141">
        <f t="shared" si="0"/>
        <v>0</v>
      </c>
      <c r="F20" s="110">
        <v>0</v>
      </c>
      <c r="G20" s="141">
        <f t="shared" si="1"/>
        <v>0</v>
      </c>
      <c r="H20" s="110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41">
        <f t="shared" si="3"/>
        <v>0</v>
      </c>
      <c r="N20" s="139">
        <f t="shared" si="4"/>
        <v>0</v>
      </c>
      <c r="O20" s="17"/>
    </row>
    <row r="21" spans="1:15">
      <c r="A21" s="139" t="s">
        <v>14</v>
      </c>
      <c r="B21" s="202">
        <v>0</v>
      </c>
      <c r="C21" s="202">
        <v>0</v>
      </c>
      <c r="D21" s="202">
        <v>0</v>
      </c>
      <c r="E21" s="141">
        <f t="shared" si="0"/>
        <v>0</v>
      </c>
      <c r="F21" s="110">
        <v>0</v>
      </c>
      <c r="G21" s="141">
        <f t="shared" si="1"/>
        <v>0</v>
      </c>
      <c r="H21" s="110">
        <v>0</v>
      </c>
      <c r="I21" s="110">
        <v>0</v>
      </c>
      <c r="J21" s="141">
        <f t="shared" si="2"/>
        <v>0</v>
      </c>
      <c r="K21" s="110">
        <v>0</v>
      </c>
      <c r="L21" s="110">
        <v>0</v>
      </c>
      <c r="M21" s="141">
        <f t="shared" si="3"/>
        <v>0</v>
      </c>
      <c r="N21" s="139">
        <f t="shared" si="4"/>
        <v>0</v>
      </c>
      <c r="O21" s="17"/>
    </row>
    <row r="22" spans="1:15">
      <c r="A22" s="139" t="s">
        <v>15</v>
      </c>
      <c r="B22" s="202">
        <v>620</v>
      </c>
      <c r="C22" s="202">
        <v>0</v>
      </c>
      <c r="D22" s="202">
        <v>0</v>
      </c>
      <c r="E22" s="141">
        <f t="shared" si="0"/>
        <v>620</v>
      </c>
      <c r="F22" s="110">
        <v>0</v>
      </c>
      <c r="G22" s="141">
        <f t="shared" si="1"/>
        <v>147</v>
      </c>
      <c r="H22" s="110">
        <v>0</v>
      </c>
      <c r="I22" s="110">
        <v>0</v>
      </c>
      <c r="J22" s="141">
        <f t="shared" si="2"/>
        <v>0</v>
      </c>
      <c r="K22" s="110">
        <v>473</v>
      </c>
      <c r="L22" s="110">
        <v>0</v>
      </c>
      <c r="M22" s="141">
        <f t="shared" si="3"/>
        <v>473</v>
      </c>
      <c r="N22" s="139">
        <f t="shared" si="4"/>
        <v>0.28899999999999998</v>
      </c>
      <c r="O22" s="17"/>
    </row>
    <row r="23" spans="1:15">
      <c r="A23" s="139" t="s">
        <v>16</v>
      </c>
      <c r="B23" s="202">
        <v>894</v>
      </c>
      <c r="C23" s="202">
        <v>0</v>
      </c>
      <c r="D23" s="202">
        <v>0</v>
      </c>
      <c r="E23" s="141">
        <f t="shared" si="0"/>
        <v>894</v>
      </c>
      <c r="F23" s="110">
        <v>0</v>
      </c>
      <c r="G23" s="141">
        <f t="shared" si="1"/>
        <v>134</v>
      </c>
      <c r="H23" s="110">
        <v>0</v>
      </c>
      <c r="I23" s="110">
        <v>0</v>
      </c>
      <c r="J23" s="141">
        <f t="shared" si="2"/>
        <v>0</v>
      </c>
      <c r="K23" s="110">
        <v>760</v>
      </c>
      <c r="L23" s="110">
        <v>0</v>
      </c>
      <c r="M23" s="141">
        <f t="shared" si="3"/>
        <v>760</v>
      </c>
      <c r="N23" s="139">
        <f t="shared" si="4"/>
        <v>0.46500000000000002</v>
      </c>
      <c r="O23" s="17"/>
    </row>
    <row r="24" spans="1:15">
      <c r="A24" s="139" t="s">
        <v>17</v>
      </c>
      <c r="B24" s="202">
        <v>493</v>
      </c>
      <c r="C24" s="202">
        <v>0</v>
      </c>
      <c r="D24" s="202">
        <v>0</v>
      </c>
      <c r="E24" s="141">
        <f t="shared" si="0"/>
        <v>493</v>
      </c>
      <c r="F24" s="110">
        <v>0</v>
      </c>
      <c r="G24" s="141">
        <f t="shared" si="1"/>
        <v>49</v>
      </c>
      <c r="H24" s="110">
        <v>0</v>
      </c>
      <c r="I24" s="110">
        <v>0</v>
      </c>
      <c r="J24" s="141">
        <f t="shared" si="2"/>
        <v>0</v>
      </c>
      <c r="K24" s="110">
        <v>444</v>
      </c>
      <c r="L24" s="110">
        <v>0</v>
      </c>
      <c r="M24" s="141">
        <f t="shared" si="3"/>
        <v>444</v>
      </c>
      <c r="N24" s="139">
        <f t="shared" si="4"/>
        <v>0.27200000000000002</v>
      </c>
      <c r="O24" s="17"/>
    </row>
    <row r="25" spans="1:15">
      <c r="A25" s="139" t="s">
        <v>18</v>
      </c>
      <c r="B25" s="214">
        <v>0</v>
      </c>
      <c r="C25" s="202">
        <v>0</v>
      </c>
      <c r="D25" s="202">
        <v>0</v>
      </c>
      <c r="E25" s="141">
        <f t="shared" si="0"/>
        <v>0</v>
      </c>
      <c r="F25" s="110">
        <v>0</v>
      </c>
      <c r="G25" s="141">
        <f t="shared" si="1"/>
        <v>0</v>
      </c>
      <c r="H25" s="110">
        <v>0</v>
      </c>
      <c r="I25" s="110">
        <v>0</v>
      </c>
      <c r="J25" s="141">
        <f t="shared" si="2"/>
        <v>0</v>
      </c>
      <c r="K25" s="110">
        <v>0</v>
      </c>
      <c r="L25" s="110">
        <v>0</v>
      </c>
      <c r="M25" s="141">
        <f t="shared" si="3"/>
        <v>0</v>
      </c>
      <c r="N25" s="139">
        <f t="shared" si="4"/>
        <v>0</v>
      </c>
      <c r="O25" s="17"/>
    </row>
    <row r="26" spans="1:15">
      <c r="A26" s="139" t="s">
        <v>19</v>
      </c>
      <c r="B26" s="214">
        <v>0</v>
      </c>
      <c r="C26" s="202">
        <v>0</v>
      </c>
      <c r="D26" s="202">
        <v>0</v>
      </c>
      <c r="E26" s="141">
        <f t="shared" si="0"/>
        <v>0</v>
      </c>
      <c r="F26" s="110">
        <v>0</v>
      </c>
      <c r="G26" s="141">
        <f t="shared" si="1"/>
        <v>0</v>
      </c>
      <c r="H26" s="110">
        <v>0</v>
      </c>
      <c r="I26" s="110">
        <v>0</v>
      </c>
      <c r="J26" s="141">
        <f t="shared" si="2"/>
        <v>0</v>
      </c>
      <c r="K26" s="110">
        <v>0</v>
      </c>
      <c r="L26" s="110">
        <v>0</v>
      </c>
      <c r="M26" s="141">
        <f t="shared" si="3"/>
        <v>0</v>
      </c>
      <c r="N26" s="139">
        <f t="shared" si="4"/>
        <v>0</v>
      </c>
      <c r="O26" s="17"/>
    </row>
    <row r="27" spans="1:15">
      <c r="A27" s="139" t="s">
        <v>20</v>
      </c>
      <c r="B27" s="214">
        <v>0</v>
      </c>
      <c r="C27" s="202">
        <v>0</v>
      </c>
      <c r="D27" s="202">
        <v>0</v>
      </c>
      <c r="E27" s="141">
        <f t="shared" si="0"/>
        <v>0</v>
      </c>
      <c r="F27" s="110">
        <v>0</v>
      </c>
      <c r="G27" s="141">
        <f t="shared" si="1"/>
        <v>0</v>
      </c>
      <c r="H27" s="110">
        <v>0</v>
      </c>
      <c r="I27" s="110">
        <v>0</v>
      </c>
      <c r="J27" s="141">
        <f t="shared" si="2"/>
        <v>0</v>
      </c>
      <c r="K27" s="110">
        <v>0</v>
      </c>
      <c r="L27" s="110">
        <v>0</v>
      </c>
      <c r="M27" s="141">
        <f t="shared" si="3"/>
        <v>0</v>
      </c>
      <c r="N27" s="139">
        <f t="shared" si="4"/>
        <v>0</v>
      </c>
      <c r="O27" s="17"/>
    </row>
    <row r="28" spans="1:15" ht="15.75" thickBot="1">
      <c r="A28" s="139" t="s">
        <v>21</v>
      </c>
      <c r="B28" s="205">
        <f>SUM(B16:B27)</f>
        <v>2007</v>
      </c>
      <c r="C28" s="157">
        <f>SUM(C16:C27)</f>
        <v>0</v>
      </c>
      <c r="D28" s="157">
        <f>SUM(D16:D27)</f>
        <v>0</v>
      </c>
      <c r="E28" s="157">
        <f>SUM(E16:E27)</f>
        <v>2007</v>
      </c>
      <c r="F28" s="157">
        <f>SUM(F16:F27)</f>
        <v>0</v>
      </c>
      <c r="G28" s="157">
        <f t="shared" si="1"/>
        <v>330</v>
      </c>
      <c r="H28" s="157">
        <f>SUM(H16:H27)</f>
        <v>0</v>
      </c>
      <c r="I28" s="157">
        <f>SUM(I16:I27)</f>
        <v>0</v>
      </c>
      <c r="J28" s="157">
        <f t="shared" si="2"/>
        <v>0</v>
      </c>
      <c r="K28" s="157">
        <f>SUM(K16:K27)</f>
        <v>1677</v>
      </c>
      <c r="L28" s="157">
        <f>SUM(L16:L27)</f>
        <v>0</v>
      </c>
      <c r="M28" s="157">
        <f>SUM(M16:M27)</f>
        <v>1677</v>
      </c>
      <c r="N28" s="142">
        <f t="shared" si="4"/>
        <v>1.026</v>
      </c>
      <c r="O28" s="17"/>
    </row>
    <row r="29" spans="1:15" ht="15.75" thickTop="1">
      <c r="A29" s="137" t="s">
        <v>22</v>
      </c>
      <c r="B29" s="138"/>
      <c r="C29" s="138"/>
      <c r="D29" s="138"/>
      <c r="E29" s="160">
        <f t="shared" ref="E29:M29" si="5">ROUND(+E28/$K$9,2)</f>
        <v>1.23</v>
      </c>
      <c r="F29" s="160">
        <f t="shared" si="5"/>
        <v>0</v>
      </c>
      <c r="G29" s="160">
        <f t="shared" si="5"/>
        <v>0.2</v>
      </c>
      <c r="H29" s="160">
        <f t="shared" si="5"/>
        <v>0</v>
      </c>
      <c r="I29" s="160">
        <f t="shared" si="5"/>
        <v>0</v>
      </c>
      <c r="J29" s="160">
        <f t="shared" si="5"/>
        <v>0</v>
      </c>
      <c r="K29" s="160">
        <f t="shared" si="5"/>
        <v>1.03</v>
      </c>
      <c r="L29" s="160">
        <f t="shared" si="5"/>
        <v>0</v>
      </c>
      <c r="M29" s="160">
        <f t="shared" si="5"/>
        <v>1.03</v>
      </c>
      <c r="N29" s="138"/>
      <c r="O29" s="17"/>
    </row>
    <row r="30" spans="1:15" ht="15.75" thickBot="1">
      <c r="A30" s="139" t="s">
        <v>23</v>
      </c>
      <c r="B30" s="139"/>
      <c r="C30" s="139"/>
      <c r="D30" s="139"/>
      <c r="E30" s="144">
        <f t="shared" ref="E30:M30" si="6">E28/$E$28*100</f>
        <v>100</v>
      </c>
      <c r="F30" s="144">
        <f t="shared" si="6"/>
        <v>0</v>
      </c>
      <c r="G30" s="144">
        <f t="shared" si="6"/>
        <v>16.442451420029897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83.557548579970103</v>
      </c>
      <c r="L30" s="144">
        <f t="shared" si="6"/>
        <v>0</v>
      </c>
      <c r="M30" s="144">
        <f t="shared" si="6"/>
        <v>83.557548579970103</v>
      </c>
      <c r="N30" s="139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5"/>
      <c r="I36" s="24"/>
      <c r="J36" s="135"/>
      <c r="K36" s="135"/>
      <c r="L36" s="135"/>
      <c r="M36" s="135"/>
      <c r="N36" s="135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5">
      <c r="A38" s="7"/>
      <c r="C38" s="1" t="s">
        <v>0</v>
      </c>
      <c r="D38" s="1" t="s">
        <v>0</v>
      </c>
      <c r="E38" s="165" t="s">
        <v>0</v>
      </c>
    </row>
  </sheetData>
  <pageMargins left="0.5" right="0.5" top="0.5" bottom="0.5" header="0" footer="0"/>
  <pageSetup scale="81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showOutlineSymbols="0" zoomScale="87" zoomScaleNormal="87" workbookViewId="0">
      <selection activeCell="R40" sqref="R40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  <c r="M3" s="135"/>
      <c r="N3" s="135"/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/>
      <c r="M4" s="135"/>
      <c r="N4" s="135"/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  <c r="M5" s="135"/>
      <c r="N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</row>
    <row r="8" spans="1:15" ht="18">
      <c r="A8" s="8" t="s">
        <v>4</v>
      </c>
      <c r="B8" s="134" t="s">
        <v>82</v>
      </c>
      <c r="C8" s="134"/>
      <c r="D8" s="134"/>
      <c r="E8" s="134"/>
      <c r="F8" s="134"/>
      <c r="G8" s="8" t="s">
        <v>56</v>
      </c>
      <c r="H8" s="134"/>
      <c r="I8" s="134" t="s">
        <v>84</v>
      </c>
      <c r="J8" s="134"/>
      <c r="K8" s="134"/>
      <c r="L8" s="134"/>
      <c r="M8" s="134"/>
      <c r="N8" s="134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06">
        <v>5763</v>
      </c>
      <c r="L9" s="136"/>
      <c r="M9" s="10" t="s">
        <v>77</v>
      </c>
      <c r="N9" s="105">
        <v>2022</v>
      </c>
    </row>
    <row r="10" spans="1:15" ht="18.75" thickBot="1">
      <c r="A10" s="10" t="s">
        <v>6</v>
      </c>
      <c r="B10" s="136" t="s">
        <v>83</v>
      </c>
      <c r="C10" s="136"/>
      <c r="D10" s="136"/>
      <c r="E10" s="136"/>
      <c r="F10" s="136"/>
      <c r="G10" s="10" t="s">
        <v>58</v>
      </c>
      <c r="H10" s="136"/>
      <c r="I10" s="136"/>
      <c r="J10" s="136"/>
      <c r="K10" s="136"/>
      <c r="L10" s="136"/>
      <c r="M10" s="136"/>
      <c r="N10" s="136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37" t="s">
        <v>78</v>
      </c>
      <c r="N11" s="137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8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8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39" t="s">
        <v>9</v>
      </c>
      <c r="B16" s="202">
        <v>0</v>
      </c>
      <c r="C16" s="202">
        <v>0</v>
      </c>
      <c r="D16" s="140">
        <v>0</v>
      </c>
      <c r="E16" s="141">
        <f t="shared" ref="E16:E21" si="0">B16+C16-D16</f>
        <v>0</v>
      </c>
      <c r="F16" s="202"/>
      <c r="G16" s="141">
        <f t="shared" ref="G16:G28" si="1">E16-F16-H16-K16</f>
        <v>0</v>
      </c>
      <c r="H16" s="202"/>
      <c r="I16" s="202"/>
      <c r="J16" s="141">
        <f t="shared" ref="J16:J28" si="2">H16-I16-L16</f>
        <v>0</v>
      </c>
      <c r="K16" s="202"/>
      <c r="L16" s="202"/>
      <c r="M16" s="141">
        <f t="shared" ref="M16:M27" si="3">SUM(K16:L16)</f>
        <v>0</v>
      </c>
      <c r="N16" s="139">
        <f t="shared" ref="N16:N28" si="4">ROUND(+M16/$K$9,3)</f>
        <v>0</v>
      </c>
      <c r="O16" s="17"/>
    </row>
    <row r="17" spans="1:15">
      <c r="A17" s="139" t="s">
        <v>10</v>
      </c>
      <c r="B17" s="202">
        <v>0</v>
      </c>
      <c r="C17" s="202">
        <v>0</v>
      </c>
      <c r="D17" s="140">
        <v>0</v>
      </c>
      <c r="E17" s="141">
        <f t="shared" si="0"/>
        <v>0</v>
      </c>
      <c r="F17" s="202"/>
      <c r="G17" s="141">
        <f t="shared" si="1"/>
        <v>0</v>
      </c>
      <c r="H17" s="202"/>
      <c r="I17" s="202"/>
      <c r="J17" s="141">
        <f t="shared" si="2"/>
        <v>0</v>
      </c>
      <c r="K17" s="202"/>
      <c r="L17" s="202"/>
      <c r="M17" s="141">
        <f t="shared" si="3"/>
        <v>0</v>
      </c>
      <c r="N17" s="139">
        <f t="shared" si="4"/>
        <v>0</v>
      </c>
      <c r="O17" s="17"/>
    </row>
    <row r="18" spans="1:15">
      <c r="A18" s="139" t="s">
        <v>11</v>
      </c>
      <c r="B18" s="202">
        <v>0</v>
      </c>
      <c r="C18" s="202">
        <v>0</v>
      </c>
      <c r="D18" s="140">
        <v>0</v>
      </c>
      <c r="E18" s="141">
        <f t="shared" si="0"/>
        <v>0</v>
      </c>
      <c r="F18" s="202"/>
      <c r="G18" s="141">
        <f t="shared" si="1"/>
        <v>0</v>
      </c>
      <c r="H18" s="202"/>
      <c r="I18" s="202"/>
      <c r="J18" s="141">
        <f t="shared" si="2"/>
        <v>0</v>
      </c>
      <c r="K18" s="202"/>
      <c r="L18" s="202"/>
      <c r="M18" s="141">
        <f t="shared" si="3"/>
        <v>0</v>
      </c>
      <c r="N18" s="139">
        <f t="shared" si="4"/>
        <v>0</v>
      </c>
      <c r="O18" s="17"/>
    </row>
    <row r="19" spans="1:15">
      <c r="A19" s="139" t="s">
        <v>12</v>
      </c>
      <c r="B19" s="202">
        <v>0</v>
      </c>
      <c r="C19" s="202">
        <v>0</v>
      </c>
      <c r="D19" s="140">
        <v>0</v>
      </c>
      <c r="E19" s="141">
        <f t="shared" si="0"/>
        <v>0</v>
      </c>
      <c r="F19" s="202"/>
      <c r="G19" s="141">
        <f t="shared" si="1"/>
        <v>0</v>
      </c>
      <c r="H19" s="202"/>
      <c r="I19" s="202"/>
      <c r="J19" s="141">
        <f t="shared" si="2"/>
        <v>0</v>
      </c>
      <c r="K19" s="202"/>
      <c r="L19" s="202"/>
      <c r="M19" s="141">
        <f t="shared" si="3"/>
        <v>0</v>
      </c>
      <c r="N19" s="139">
        <f t="shared" si="4"/>
        <v>0</v>
      </c>
      <c r="O19" s="17"/>
    </row>
    <row r="20" spans="1:15">
      <c r="A20" s="139" t="s">
        <v>13</v>
      </c>
      <c r="B20" s="202">
        <v>0</v>
      </c>
      <c r="C20" s="202">
        <v>0</v>
      </c>
      <c r="D20" s="140">
        <v>0</v>
      </c>
      <c r="E20" s="141">
        <f t="shared" si="0"/>
        <v>0</v>
      </c>
      <c r="F20" s="202"/>
      <c r="G20" s="141">
        <f t="shared" si="1"/>
        <v>0</v>
      </c>
      <c r="H20" s="202"/>
      <c r="I20" s="202"/>
      <c r="J20" s="141">
        <f t="shared" si="2"/>
        <v>0</v>
      </c>
      <c r="K20" s="202"/>
      <c r="L20" s="202"/>
      <c r="M20" s="141">
        <f t="shared" si="3"/>
        <v>0</v>
      </c>
      <c r="N20" s="139">
        <f t="shared" si="4"/>
        <v>0</v>
      </c>
      <c r="O20" s="17"/>
    </row>
    <row r="21" spans="1:15">
      <c r="A21" s="139" t="s">
        <v>14</v>
      </c>
      <c r="B21" s="202">
        <v>0</v>
      </c>
      <c r="C21" s="202">
        <v>0</v>
      </c>
      <c r="D21" s="140">
        <v>0</v>
      </c>
      <c r="E21" s="141">
        <f t="shared" si="0"/>
        <v>0</v>
      </c>
      <c r="F21" s="202"/>
      <c r="G21" s="141">
        <f t="shared" si="1"/>
        <v>0</v>
      </c>
      <c r="H21" s="202"/>
      <c r="I21" s="202"/>
      <c r="J21" s="141">
        <f t="shared" si="2"/>
        <v>0</v>
      </c>
      <c r="K21" s="202"/>
      <c r="L21" s="202"/>
      <c r="M21" s="141">
        <f t="shared" si="3"/>
        <v>0</v>
      </c>
      <c r="N21" s="139">
        <f t="shared" si="4"/>
        <v>0</v>
      </c>
      <c r="O21" s="17"/>
    </row>
    <row r="22" spans="1:15">
      <c r="A22" s="139" t="s">
        <v>15</v>
      </c>
      <c r="B22" s="202">
        <v>2108</v>
      </c>
      <c r="C22" s="214">
        <v>434</v>
      </c>
      <c r="D22" s="140">
        <v>0</v>
      </c>
      <c r="E22" s="141">
        <f t="shared" ref="E22:E27" si="5">B22+C22-D22</f>
        <v>2542</v>
      </c>
      <c r="F22" s="202">
        <v>0</v>
      </c>
      <c r="G22" s="141">
        <f t="shared" si="1"/>
        <v>960</v>
      </c>
      <c r="H22" s="202">
        <v>1024</v>
      </c>
      <c r="I22" s="202">
        <v>0</v>
      </c>
      <c r="J22" s="141">
        <f>H22-I22-L22</f>
        <v>667</v>
      </c>
      <c r="K22" s="202">
        <v>558</v>
      </c>
      <c r="L22" s="202">
        <v>357</v>
      </c>
      <c r="M22" s="141">
        <f t="shared" si="3"/>
        <v>915</v>
      </c>
      <c r="N22" s="139">
        <f t="shared" si="4"/>
        <v>0.159</v>
      </c>
      <c r="O22" s="17"/>
    </row>
    <row r="23" spans="1:15">
      <c r="A23" s="139" t="s">
        <v>16</v>
      </c>
      <c r="B23" s="202">
        <v>0</v>
      </c>
      <c r="C23" s="202">
        <v>0</v>
      </c>
      <c r="D23" s="140">
        <v>0</v>
      </c>
      <c r="E23" s="141">
        <f t="shared" si="5"/>
        <v>0</v>
      </c>
      <c r="F23" s="202"/>
      <c r="G23" s="141">
        <f t="shared" si="1"/>
        <v>0</v>
      </c>
      <c r="H23" s="202"/>
      <c r="I23" s="202"/>
      <c r="J23" s="141">
        <f t="shared" si="2"/>
        <v>0</v>
      </c>
      <c r="K23" s="202"/>
      <c r="L23" s="202"/>
      <c r="M23" s="141">
        <f t="shared" si="3"/>
        <v>0</v>
      </c>
      <c r="N23" s="139">
        <f t="shared" si="4"/>
        <v>0</v>
      </c>
      <c r="O23" s="17"/>
    </row>
    <row r="24" spans="1:15">
      <c r="A24" s="139" t="s">
        <v>17</v>
      </c>
      <c r="B24" s="202">
        <v>0</v>
      </c>
      <c r="C24" s="202">
        <v>0</v>
      </c>
      <c r="D24" s="140">
        <v>0</v>
      </c>
      <c r="E24" s="141">
        <f t="shared" si="5"/>
        <v>0</v>
      </c>
      <c r="F24" s="202"/>
      <c r="G24" s="141">
        <f t="shared" si="1"/>
        <v>0</v>
      </c>
      <c r="H24" s="202"/>
      <c r="I24" s="202"/>
      <c r="J24" s="141">
        <f t="shared" si="2"/>
        <v>0</v>
      </c>
      <c r="K24" s="202"/>
      <c r="L24" s="202"/>
      <c r="M24" s="141">
        <f t="shared" si="3"/>
        <v>0</v>
      </c>
      <c r="N24" s="139">
        <f t="shared" si="4"/>
        <v>0</v>
      </c>
      <c r="O24" s="17"/>
    </row>
    <row r="25" spans="1:15">
      <c r="A25" s="139" t="s">
        <v>18</v>
      </c>
      <c r="B25" s="202">
        <v>0</v>
      </c>
      <c r="C25" s="202">
        <v>0</v>
      </c>
      <c r="D25" s="140">
        <v>0</v>
      </c>
      <c r="E25" s="141">
        <f t="shared" si="5"/>
        <v>0</v>
      </c>
      <c r="F25" s="202"/>
      <c r="G25" s="141">
        <f t="shared" si="1"/>
        <v>0</v>
      </c>
      <c r="H25" s="202"/>
      <c r="I25" s="202"/>
      <c r="J25" s="141">
        <f t="shared" si="2"/>
        <v>0</v>
      </c>
      <c r="K25" s="202"/>
      <c r="L25" s="202"/>
      <c r="M25" s="141">
        <f t="shared" si="3"/>
        <v>0</v>
      </c>
      <c r="N25" s="139">
        <f t="shared" si="4"/>
        <v>0</v>
      </c>
      <c r="O25" s="17"/>
    </row>
    <row r="26" spans="1:15">
      <c r="A26" s="139" t="s">
        <v>19</v>
      </c>
      <c r="B26" s="202">
        <v>0</v>
      </c>
      <c r="C26" s="202">
        <v>0</v>
      </c>
      <c r="D26" s="140">
        <v>0</v>
      </c>
      <c r="E26" s="141">
        <f t="shared" si="5"/>
        <v>0</v>
      </c>
      <c r="F26" s="202"/>
      <c r="G26" s="141">
        <f t="shared" si="1"/>
        <v>0</v>
      </c>
      <c r="H26" s="202"/>
      <c r="I26" s="202"/>
      <c r="J26" s="141">
        <f t="shared" si="2"/>
        <v>0</v>
      </c>
      <c r="K26" s="202"/>
      <c r="L26" s="202"/>
      <c r="M26" s="141">
        <f t="shared" si="3"/>
        <v>0</v>
      </c>
      <c r="N26" s="139">
        <f t="shared" si="4"/>
        <v>0</v>
      </c>
      <c r="O26" s="17"/>
    </row>
    <row r="27" spans="1:15">
      <c r="A27" s="139" t="s">
        <v>20</v>
      </c>
      <c r="B27" s="202">
        <v>0</v>
      </c>
      <c r="C27" s="202">
        <v>0</v>
      </c>
      <c r="D27" s="140">
        <v>0</v>
      </c>
      <c r="E27" s="141">
        <f t="shared" si="5"/>
        <v>0</v>
      </c>
      <c r="F27" s="202"/>
      <c r="G27" s="141">
        <f t="shared" si="1"/>
        <v>0</v>
      </c>
      <c r="H27" s="202"/>
      <c r="I27" s="202"/>
      <c r="J27" s="141">
        <f t="shared" si="2"/>
        <v>0</v>
      </c>
      <c r="K27" s="202"/>
      <c r="L27" s="202"/>
      <c r="M27" s="141">
        <f t="shared" si="3"/>
        <v>0</v>
      </c>
      <c r="N27" s="139">
        <f t="shared" si="4"/>
        <v>0</v>
      </c>
      <c r="O27" s="17"/>
    </row>
    <row r="28" spans="1:15" ht="15.75" thickBot="1">
      <c r="A28" s="139" t="s">
        <v>21</v>
      </c>
      <c r="B28" s="141">
        <f>SUM(B16:B27)</f>
        <v>2108</v>
      </c>
      <c r="C28" s="141">
        <f>SUM(C16:C27)</f>
        <v>434</v>
      </c>
      <c r="D28" s="141">
        <f>SUM(D16:D27)</f>
        <v>0</v>
      </c>
      <c r="E28" s="141">
        <f>SUM(E16:E27)</f>
        <v>2542</v>
      </c>
      <c r="F28" s="220">
        <f>SUM(F16:F27)</f>
        <v>0</v>
      </c>
      <c r="G28" s="141">
        <f t="shared" si="1"/>
        <v>960</v>
      </c>
      <c r="H28" s="141">
        <f>SUM(H16:H27)</f>
        <v>1024</v>
      </c>
      <c r="I28" s="141">
        <f>SUM(I16:I27)</f>
        <v>0</v>
      </c>
      <c r="J28" s="141">
        <f t="shared" si="2"/>
        <v>667</v>
      </c>
      <c r="K28" s="141">
        <f>SUM(K16:K27)</f>
        <v>558</v>
      </c>
      <c r="L28" s="141">
        <f>SUM(L16:L27)</f>
        <v>357</v>
      </c>
      <c r="M28" s="141">
        <f>SUM(M16:M27)</f>
        <v>915</v>
      </c>
      <c r="N28" s="142">
        <f t="shared" si="4"/>
        <v>0.159</v>
      </c>
      <c r="O28" s="17"/>
    </row>
    <row r="29" spans="1:15" ht="15.75" thickTop="1">
      <c r="A29" s="137" t="s">
        <v>22</v>
      </c>
      <c r="B29" s="137"/>
      <c r="C29" s="137"/>
      <c r="D29" s="137"/>
      <c r="E29" s="143">
        <f t="shared" ref="E29:M29" si="6">ROUND(+E28/$K$9,2)</f>
        <v>0.44</v>
      </c>
      <c r="F29" s="143">
        <f t="shared" si="6"/>
        <v>0</v>
      </c>
      <c r="G29" s="143">
        <f t="shared" si="6"/>
        <v>0.17</v>
      </c>
      <c r="H29" s="143">
        <f t="shared" si="6"/>
        <v>0.18</v>
      </c>
      <c r="I29" s="143">
        <f t="shared" si="6"/>
        <v>0</v>
      </c>
      <c r="J29" s="143">
        <f t="shared" si="6"/>
        <v>0.12</v>
      </c>
      <c r="K29" s="143">
        <f t="shared" si="6"/>
        <v>0.1</v>
      </c>
      <c r="L29" s="143">
        <f t="shared" si="6"/>
        <v>0.06</v>
      </c>
      <c r="M29" s="143">
        <f t="shared" si="6"/>
        <v>0.16</v>
      </c>
      <c r="N29" s="138"/>
      <c r="O29" s="17"/>
    </row>
    <row r="30" spans="1:15" ht="15.75" thickBot="1">
      <c r="A30" s="142" t="s">
        <v>23</v>
      </c>
      <c r="B30" s="142"/>
      <c r="C30" s="139"/>
      <c r="D30" s="139"/>
      <c r="E30" s="144">
        <f t="shared" ref="E30:L30" si="7">E28/$E$28*100</f>
        <v>100</v>
      </c>
      <c r="F30" s="144">
        <f t="shared" si="7"/>
        <v>0</v>
      </c>
      <c r="G30" s="144">
        <f t="shared" si="7"/>
        <v>37.765538945712038</v>
      </c>
      <c r="H30" s="144">
        <f t="shared" si="7"/>
        <v>40.283241542092838</v>
      </c>
      <c r="I30" s="144">
        <f t="shared" si="7"/>
        <v>0</v>
      </c>
      <c r="J30" s="144">
        <f t="shared" si="7"/>
        <v>26.239181746656175</v>
      </c>
      <c r="K30" s="144">
        <f t="shared" si="7"/>
        <v>21.951219512195124</v>
      </c>
      <c r="L30" s="144">
        <f t="shared" si="7"/>
        <v>14.044059795436665</v>
      </c>
      <c r="M30" s="144">
        <f>M28/$E$28*100</f>
        <v>35.995279307631783</v>
      </c>
      <c r="N30" s="139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5">
      <c r="A36" s="50" t="s">
        <v>0</v>
      </c>
      <c r="B36" s="134"/>
      <c r="C36" s="134"/>
      <c r="D36" s="134"/>
      <c r="E36" s="134"/>
      <c r="F36" s="134"/>
      <c r="G36" s="134"/>
      <c r="H36" s="134"/>
      <c r="I36" s="43"/>
      <c r="J36" s="134"/>
      <c r="K36" s="134"/>
      <c r="L36" s="134"/>
      <c r="M36" s="134"/>
      <c r="N36" s="134"/>
      <c r="O36" s="7"/>
    </row>
    <row r="37" spans="1:15">
      <c r="A37" s="50" t="s">
        <v>0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7"/>
    </row>
    <row r="38" spans="1:15">
      <c r="A38" s="134"/>
      <c r="C38" s="134"/>
      <c r="D38" s="134"/>
      <c r="E38" s="146"/>
      <c r="F38" s="134"/>
      <c r="G38" s="134"/>
      <c r="H38" s="134"/>
      <c r="I38" s="134"/>
      <c r="J38" s="134"/>
      <c r="K38" s="134"/>
      <c r="L38" s="134"/>
      <c r="M38" s="134"/>
      <c r="N38" s="134"/>
      <c r="O38" s="7"/>
    </row>
    <row r="39" spans="1:15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5" ht="26.25">
      <c r="B40" s="204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77734375" style="1" customWidth="1"/>
    <col min="6" max="6" width="7.6640625" style="1" customWidth="1"/>
    <col min="7" max="7" width="9.5546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  <c r="M3" s="135"/>
      <c r="N3" s="135"/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/>
      <c r="M4" s="135"/>
      <c r="N4" s="135"/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  <c r="M5" s="135"/>
      <c r="N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</row>
    <row r="8" spans="1:15" ht="18">
      <c r="A8" s="8" t="s">
        <v>4</v>
      </c>
      <c r="B8" s="134" t="s">
        <v>136</v>
      </c>
      <c r="C8" s="134"/>
      <c r="D8" s="134"/>
      <c r="E8" s="134"/>
      <c r="F8" s="134"/>
      <c r="G8" s="8" t="s">
        <v>56</v>
      </c>
      <c r="H8" s="134"/>
      <c r="I8" s="134" t="s">
        <v>138</v>
      </c>
      <c r="J8" s="134"/>
      <c r="K8" s="134"/>
      <c r="L8" s="134"/>
      <c r="M8" s="134"/>
      <c r="N8" s="134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08">
        <v>9170</v>
      </c>
      <c r="L9" s="136" t="s">
        <v>0</v>
      </c>
      <c r="M9" s="10" t="s">
        <v>77</v>
      </c>
      <c r="N9" s="119">
        <v>2022</v>
      </c>
    </row>
    <row r="10" spans="1:15" ht="18.75" thickBot="1">
      <c r="A10" s="10" t="s">
        <v>6</v>
      </c>
      <c r="B10" s="136" t="s">
        <v>137</v>
      </c>
      <c r="C10" s="136"/>
      <c r="D10" s="136"/>
      <c r="E10" s="136"/>
      <c r="F10" s="136"/>
      <c r="G10" s="10" t="s">
        <v>58</v>
      </c>
      <c r="H10" s="136"/>
      <c r="I10" s="188" t="s">
        <v>0</v>
      </c>
      <c r="J10" s="136"/>
      <c r="K10" s="136"/>
      <c r="L10" s="136"/>
      <c r="M10" s="136"/>
      <c r="N10" s="136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37" t="s">
        <v>78</v>
      </c>
      <c r="N11" s="137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8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8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39" t="s">
        <v>9</v>
      </c>
      <c r="B16" s="110">
        <v>0</v>
      </c>
      <c r="C16" s="110">
        <v>0</v>
      </c>
      <c r="D16" s="11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10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41">
        <f t="shared" ref="M16:M27" si="3">SUM(K16:L16)</f>
        <v>0</v>
      </c>
      <c r="N16" s="139">
        <f t="shared" ref="N16:N28" si="4">ROUND(+M16/$K$9,3)</f>
        <v>0</v>
      </c>
      <c r="O16" s="17"/>
    </row>
    <row r="17" spans="1:15">
      <c r="A17" s="139" t="s">
        <v>10</v>
      </c>
      <c r="B17" s="110">
        <v>0</v>
      </c>
      <c r="C17" s="110">
        <v>0</v>
      </c>
      <c r="D17" s="110">
        <v>0</v>
      </c>
      <c r="E17" s="141">
        <f t="shared" si="0"/>
        <v>0</v>
      </c>
      <c r="F17" s="110">
        <v>0</v>
      </c>
      <c r="G17" s="141">
        <f t="shared" si="1"/>
        <v>0</v>
      </c>
      <c r="H17" s="110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41">
        <f t="shared" si="3"/>
        <v>0</v>
      </c>
      <c r="N17" s="139">
        <f t="shared" si="4"/>
        <v>0</v>
      </c>
      <c r="O17" s="17"/>
    </row>
    <row r="18" spans="1:15">
      <c r="A18" s="139" t="s">
        <v>11</v>
      </c>
      <c r="B18" s="110">
        <v>0</v>
      </c>
      <c r="C18" s="110">
        <v>0</v>
      </c>
      <c r="D18" s="110">
        <v>0</v>
      </c>
      <c r="E18" s="141">
        <f t="shared" si="0"/>
        <v>0</v>
      </c>
      <c r="F18" s="110">
        <v>0</v>
      </c>
      <c r="G18" s="141">
        <f t="shared" si="1"/>
        <v>0</v>
      </c>
      <c r="H18" s="110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41">
        <f t="shared" si="3"/>
        <v>0</v>
      </c>
      <c r="N18" s="139">
        <f t="shared" si="4"/>
        <v>0</v>
      </c>
      <c r="O18" s="17"/>
    </row>
    <row r="19" spans="1:15">
      <c r="A19" s="139" t="s">
        <v>12</v>
      </c>
      <c r="B19" s="110">
        <v>0</v>
      </c>
      <c r="C19" s="110">
        <v>0</v>
      </c>
      <c r="D19" s="110">
        <v>0</v>
      </c>
      <c r="E19" s="141">
        <f t="shared" si="0"/>
        <v>0</v>
      </c>
      <c r="F19" s="110">
        <v>0</v>
      </c>
      <c r="G19" s="141">
        <f t="shared" si="1"/>
        <v>0</v>
      </c>
      <c r="H19" s="110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41">
        <f t="shared" si="3"/>
        <v>0</v>
      </c>
      <c r="N19" s="139">
        <f t="shared" si="4"/>
        <v>0</v>
      </c>
      <c r="O19" s="17"/>
    </row>
    <row r="20" spans="1:15">
      <c r="A20" s="139" t="s">
        <v>13</v>
      </c>
      <c r="B20" s="110">
        <v>0</v>
      </c>
      <c r="C20" s="110">
        <v>0</v>
      </c>
      <c r="D20" s="110">
        <v>0</v>
      </c>
      <c r="E20" s="141">
        <f t="shared" si="0"/>
        <v>0</v>
      </c>
      <c r="F20" s="110">
        <v>0</v>
      </c>
      <c r="G20" s="141">
        <f t="shared" si="1"/>
        <v>0</v>
      </c>
      <c r="H20" s="110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41">
        <f t="shared" si="3"/>
        <v>0</v>
      </c>
      <c r="N20" s="139">
        <f t="shared" si="4"/>
        <v>0</v>
      </c>
      <c r="O20" s="17"/>
    </row>
    <row r="21" spans="1:15">
      <c r="A21" s="139" t="s">
        <v>14</v>
      </c>
      <c r="B21" s="110">
        <v>1586</v>
      </c>
      <c r="C21" s="110">
        <v>0</v>
      </c>
      <c r="D21" s="110">
        <v>0</v>
      </c>
      <c r="E21" s="141">
        <f t="shared" si="0"/>
        <v>1586</v>
      </c>
      <c r="F21" s="110">
        <v>46</v>
      </c>
      <c r="G21" s="141">
        <f t="shared" si="1"/>
        <v>1451</v>
      </c>
      <c r="H21" s="110">
        <v>82</v>
      </c>
      <c r="I21" s="110">
        <v>0</v>
      </c>
      <c r="J21" s="141">
        <f t="shared" si="2"/>
        <v>36</v>
      </c>
      <c r="K21" s="110">
        <v>7</v>
      </c>
      <c r="L21" s="110">
        <v>46</v>
      </c>
      <c r="M21" s="141">
        <f t="shared" si="3"/>
        <v>53</v>
      </c>
      <c r="N21" s="139">
        <f t="shared" si="4"/>
        <v>6.0000000000000001E-3</v>
      </c>
      <c r="O21" s="17"/>
    </row>
    <row r="22" spans="1:15">
      <c r="A22" s="139" t="s">
        <v>15</v>
      </c>
      <c r="B22" s="110">
        <v>8153</v>
      </c>
      <c r="C22" s="110">
        <v>0</v>
      </c>
      <c r="D22" s="110">
        <v>0</v>
      </c>
      <c r="E22" s="141">
        <f t="shared" si="0"/>
        <v>8153</v>
      </c>
      <c r="F22" s="110">
        <v>386</v>
      </c>
      <c r="G22" s="141">
        <f t="shared" si="1"/>
        <v>3891</v>
      </c>
      <c r="H22" s="110">
        <v>2714</v>
      </c>
      <c r="I22" s="110">
        <v>62</v>
      </c>
      <c r="J22" s="141">
        <f t="shared" si="2"/>
        <v>598</v>
      </c>
      <c r="K22" s="110">
        <v>1162</v>
      </c>
      <c r="L22" s="110">
        <v>2054</v>
      </c>
      <c r="M22" s="141">
        <f t="shared" si="3"/>
        <v>3216</v>
      </c>
      <c r="N22" s="139">
        <f t="shared" si="4"/>
        <v>0.35099999999999998</v>
      </c>
      <c r="O22" s="17"/>
    </row>
    <row r="23" spans="1:15">
      <c r="A23" s="139" t="s">
        <v>16</v>
      </c>
      <c r="B23" s="110">
        <v>8612</v>
      </c>
      <c r="C23" s="110">
        <v>0</v>
      </c>
      <c r="D23" s="110">
        <v>0</v>
      </c>
      <c r="E23" s="141">
        <f t="shared" si="0"/>
        <v>8612</v>
      </c>
      <c r="F23" s="110">
        <v>261</v>
      </c>
      <c r="G23" s="141">
        <f t="shared" si="1"/>
        <v>3244</v>
      </c>
      <c r="H23" s="110">
        <v>3621</v>
      </c>
      <c r="I23" s="110">
        <v>96</v>
      </c>
      <c r="J23" s="141">
        <f t="shared" si="2"/>
        <v>235</v>
      </c>
      <c r="K23" s="110">
        <v>1486</v>
      </c>
      <c r="L23" s="110">
        <v>3290</v>
      </c>
      <c r="M23" s="141">
        <f t="shared" si="3"/>
        <v>4776</v>
      </c>
      <c r="N23" s="139">
        <f t="shared" si="4"/>
        <v>0.52100000000000002</v>
      </c>
      <c r="O23" s="17"/>
    </row>
    <row r="24" spans="1:15">
      <c r="A24" s="139" t="s">
        <v>17</v>
      </c>
      <c r="B24" s="110">
        <v>437</v>
      </c>
      <c r="C24" s="110">
        <v>0</v>
      </c>
      <c r="D24" s="110">
        <v>0</v>
      </c>
      <c r="E24" s="141">
        <f t="shared" si="0"/>
        <v>437</v>
      </c>
      <c r="F24" s="110">
        <v>22</v>
      </c>
      <c r="G24" s="141">
        <f t="shared" si="1"/>
        <v>54</v>
      </c>
      <c r="H24" s="110">
        <v>275</v>
      </c>
      <c r="I24" s="110">
        <v>7</v>
      </c>
      <c r="J24" s="141">
        <f t="shared" si="2"/>
        <v>10</v>
      </c>
      <c r="K24" s="110">
        <v>86</v>
      </c>
      <c r="L24" s="110">
        <v>258</v>
      </c>
      <c r="M24" s="141">
        <f t="shared" si="3"/>
        <v>344</v>
      </c>
      <c r="N24" s="139">
        <f t="shared" si="4"/>
        <v>3.7999999999999999E-2</v>
      </c>
      <c r="O24" s="17"/>
    </row>
    <row r="25" spans="1:15">
      <c r="A25" s="139" t="s">
        <v>18</v>
      </c>
      <c r="B25" s="110">
        <v>0</v>
      </c>
      <c r="C25" s="110">
        <v>0</v>
      </c>
      <c r="D25" s="110">
        <v>0</v>
      </c>
      <c r="E25" s="141">
        <f t="shared" si="0"/>
        <v>0</v>
      </c>
      <c r="F25" s="110">
        <v>0</v>
      </c>
      <c r="G25" s="141">
        <f t="shared" si="1"/>
        <v>0</v>
      </c>
      <c r="H25" s="110">
        <v>0</v>
      </c>
      <c r="I25" s="110">
        <v>0</v>
      </c>
      <c r="J25" s="141">
        <f t="shared" si="2"/>
        <v>0</v>
      </c>
      <c r="K25" s="110">
        <v>0</v>
      </c>
      <c r="L25" s="110">
        <v>0</v>
      </c>
      <c r="M25" s="141">
        <f t="shared" si="3"/>
        <v>0</v>
      </c>
      <c r="N25" s="139">
        <f t="shared" si="4"/>
        <v>0</v>
      </c>
      <c r="O25" s="17"/>
    </row>
    <row r="26" spans="1:15">
      <c r="A26" s="139" t="s">
        <v>19</v>
      </c>
      <c r="B26" s="110">
        <v>0</v>
      </c>
      <c r="C26" s="110">
        <v>0</v>
      </c>
      <c r="D26" s="110">
        <v>0</v>
      </c>
      <c r="E26" s="141">
        <f t="shared" si="0"/>
        <v>0</v>
      </c>
      <c r="F26" s="110">
        <v>0</v>
      </c>
      <c r="G26" s="141">
        <f t="shared" si="1"/>
        <v>0</v>
      </c>
      <c r="H26" s="110">
        <v>0</v>
      </c>
      <c r="I26" s="110">
        <v>0</v>
      </c>
      <c r="J26" s="141">
        <f t="shared" si="2"/>
        <v>0</v>
      </c>
      <c r="K26" s="110">
        <v>0</v>
      </c>
      <c r="L26" s="110">
        <v>0</v>
      </c>
      <c r="M26" s="141">
        <f t="shared" si="3"/>
        <v>0</v>
      </c>
      <c r="N26" s="139">
        <f t="shared" si="4"/>
        <v>0</v>
      </c>
      <c r="O26" s="17"/>
    </row>
    <row r="27" spans="1:15">
      <c r="A27" s="139" t="s">
        <v>20</v>
      </c>
      <c r="B27" s="110">
        <v>0</v>
      </c>
      <c r="C27" s="110">
        <v>0</v>
      </c>
      <c r="D27" s="110">
        <v>0</v>
      </c>
      <c r="E27" s="141">
        <f t="shared" si="0"/>
        <v>0</v>
      </c>
      <c r="F27" s="110">
        <v>0</v>
      </c>
      <c r="G27" s="141">
        <f t="shared" si="1"/>
        <v>0</v>
      </c>
      <c r="H27" s="110">
        <v>0</v>
      </c>
      <c r="I27" s="110">
        <v>0</v>
      </c>
      <c r="J27" s="141">
        <f t="shared" si="2"/>
        <v>0</v>
      </c>
      <c r="K27" s="110">
        <v>0</v>
      </c>
      <c r="L27" s="110">
        <v>0</v>
      </c>
      <c r="M27" s="141">
        <f t="shared" si="3"/>
        <v>0</v>
      </c>
      <c r="N27" s="139">
        <f t="shared" si="4"/>
        <v>0</v>
      </c>
      <c r="O27" s="17"/>
    </row>
    <row r="28" spans="1:15" ht="15.75" thickBot="1">
      <c r="A28" s="139" t="s">
        <v>21</v>
      </c>
      <c r="B28" s="141">
        <f>SUM(B16:B27)</f>
        <v>18788</v>
      </c>
      <c r="C28" s="141">
        <f>SUM(C16:C27)</f>
        <v>0</v>
      </c>
      <c r="D28" s="141">
        <f>SUM(D16:D27)</f>
        <v>0</v>
      </c>
      <c r="E28" s="141">
        <f>SUM(E16:E27)</f>
        <v>18788</v>
      </c>
      <c r="F28" s="141">
        <f>SUM(F16:F27)</f>
        <v>715</v>
      </c>
      <c r="G28" s="141">
        <f t="shared" si="1"/>
        <v>8640</v>
      </c>
      <c r="H28" s="141">
        <f>SUM(H16:H27)</f>
        <v>6692</v>
      </c>
      <c r="I28" s="141">
        <f>SUM(I16:I27)</f>
        <v>165</v>
      </c>
      <c r="J28" s="141">
        <f t="shared" si="2"/>
        <v>879</v>
      </c>
      <c r="K28" s="141">
        <f>SUM(K16:K27)</f>
        <v>2741</v>
      </c>
      <c r="L28" s="141">
        <f>SUM(L16:L27)</f>
        <v>5648</v>
      </c>
      <c r="M28" s="141">
        <f>SUM(M16:M27)</f>
        <v>8389</v>
      </c>
      <c r="N28" s="142">
        <f t="shared" si="4"/>
        <v>0.91500000000000004</v>
      </c>
      <c r="O28" s="17"/>
    </row>
    <row r="29" spans="1:15" ht="15.75" thickTop="1">
      <c r="A29" s="137" t="s">
        <v>22</v>
      </c>
      <c r="B29" s="143" t="s">
        <v>0</v>
      </c>
      <c r="C29" s="143" t="s">
        <v>0</v>
      </c>
      <c r="D29" s="143" t="s">
        <v>0</v>
      </c>
      <c r="E29" s="143">
        <f t="shared" ref="E29:M29" si="5">ROUND(+E28/$K$9,2)</f>
        <v>2.0499999999999998</v>
      </c>
      <c r="F29" s="143">
        <f t="shared" si="5"/>
        <v>0.08</v>
      </c>
      <c r="G29" s="143">
        <f t="shared" si="5"/>
        <v>0.94</v>
      </c>
      <c r="H29" s="143">
        <f t="shared" si="5"/>
        <v>0.73</v>
      </c>
      <c r="I29" s="143">
        <f t="shared" si="5"/>
        <v>0.02</v>
      </c>
      <c r="J29" s="143">
        <f t="shared" si="5"/>
        <v>0.1</v>
      </c>
      <c r="K29" s="143">
        <f t="shared" si="5"/>
        <v>0.3</v>
      </c>
      <c r="L29" s="143">
        <f t="shared" si="5"/>
        <v>0.62</v>
      </c>
      <c r="M29" s="143">
        <f t="shared" si="5"/>
        <v>0.91</v>
      </c>
      <c r="N29" s="138"/>
      <c r="O29" s="17"/>
    </row>
    <row r="30" spans="1:15" ht="15.75" thickBot="1">
      <c r="A30" s="139" t="s">
        <v>23</v>
      </c>
      <c r="B30" s="144" t="s">
        <v>0</v>
      </c>
      <c r="C30" s="144" t="s">
        <v>0</v>
      </c>
      <c r="D30" s="144" t="s">
        <v>0</v>
      </c>
      <c r="E30" s="144">
        <f t="shared" ref="E30:M30" si="6">E28/$E$28*100</f>
        <v>100</v>
      </c>
      <c r="F30" s="144">
        <f t="shared" si="6"/>
        <v>3.8056206088992974</v>
      </c>
      <c r="G30" s="144">
        <f t="shared" si="6"/>
        <v>45.986800085160738</v>
      </c>
      <c r="H30" s="144">
        <f t="shared" si="6"/>
        <v>35.618479880774963</v>
      </c>
      <c r="I30" s="144">
        <f t="shared" si="6"/>
        <v>0.87822014051522246</v>
      </c>
      <c r="J30" s="144">
        <f t="shared" si="6"/>
        <v>4.678518203108367</v>
      </c>
      <c r="K30" s="144">
        <f t="shared" si="6"/>
        <v>14.589099425165001</v>
      </c>
      <c r="L30" s="144">
        <f t="shared" si="6"/>
        <v>30.06174153715137</v>
      </c>
      <c r="M30" s="144">
        <f t="shared" si="6"/>
        <v>44.650840962316373</v>
      </c>
      <c r="N30" s="139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5"/>
      <c r="I36" s="24"/>
      <c r="J36" s="135"/>
      <c r="K36" s="135"/>
      <c r="L36" s="135"/>
      <c r="M36" s="135"/>
      <c r="N36" s="135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5">
      <c r="A38" s="134"/>
      <c r="B38" s="135"/>
      <c r="C38" s="135" t="s">
        <v>0</v>
      </c>
      <c r="D38" s="135" t="s">
        <v>0</v>
      </c>
      <c r="E38" s="149" t="s">
        <v>0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175</v>
      </c>
      <c r="C8" s="74"/>
      <c r="D8" s="74"/>
      <c r="E8" s="74"/>
      <c r="F8" s="74"/>
      <c r="G8" s="82" t="s">
        <v>56</v>
      </c>
      <c r="H8" s="74"/>
      <c r="I8" s="74" t="s">
        <v>177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5757</v>
      </c>
      <c r="L9" s="84"/>
      <c r="M9" s="83" t="s">
        <v>77</v>
      </c>
      <c r="N9" s="121">
        <v>2022</v>
      </c>
    </row>
    <row r="10" spans="1:15" ht="18.75" thickBot="1">
      <c r="A10" s="83" t="s">
        <v>6</v>
      </c>
      <c r="B10" s="84" t="s">
        <v>176</v>
      </c>
      <c r="C10" s="84"/>
      <c r="D10" s="84"/>
      <c r="E10" s="84"/>
      <c r="F10" s="84"/>
      <c r="G10" s="83" t="s">
        <v>58</v>
      </c>
      <c r="H10" s="84"/>
      <c r="I10" s="189" t="s">
        <v>0</v>
      </c>
      <c r="J10" s="84"/>
      <c r="K10" s="84"/>
      <c r="L10" s="84"/>
      <c r="M10" s="84"/>
      <c r="N10" s="8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4"/>
      <c r="B15" s="114" t="s">
        <v>32</v>
      </c>
      <c r="C15" s="114" t="s">
        <v>40</v>
      </c>
      <c r="D15" s="114" t="s">
        <v>32</v>
      </c>
      <c r="E15" s="114"/>
      <c r="F15" s="114" t="s">
        <v>55</v>
      </c>
      <c r="G15" s="114" t="s">
        <v>60</v>
      </c>
      <c r="H15" s="114" t="s">
        <v>62</v>
      </c>
      <c r="I15" s="115"/>
      <c r="J15" s="114"/>
      <c r="K15" s="114" t="s">
        <v>74</v>
      </c>
      <c r="L15" s="114" t="s">
        <v>76</v>
      </c>
      <c r="M15" s="116" t="s">
        <v>21</v>
      </c>
      <c r="N15" s="117" t="s">
        <v>81</v>
      </c>
      <c r="O15" s="85"/>
    </row>
    <row r="16" spans="1:15">
      <c r="A16" s="139" t="s">
        <v>9</v>
      </c>
      <c r="B16" s="110">
        <v>0</v>
      </c>
      <c r="C16" s="202">
        <v>0</v>
      </c>
      <c r="D16" s="202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202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55">
        <f t="shared" ref="M16:M27" si="3">SUM(K16:L16)</f>
        <v>0</v>
      </c>
      <c r="N16" s="156">
        <f t="shared" ref="N16:N28" si="4">ROUND(+M16/$K$9,3)</f>
        <v>0</v>
      </c>
      <c r="O16" s="17"/>
    </row>
    <row r="17" spans="1:15">
      <c r="A17" s="139" t="s">
        <v>10</v>
      </c>
      <c r="B17" s="110">
        <v>0</v>
      </c>
      <c r="C17" s="202">
        <v>0</v>
      </c>
      <c r="D17" s="202">
        <v>0</v>
      </c>
      <c r="E17" s="141">
        <f t="shared" si="0"/>
        <v>0</v>
      </c>
      <c r="F17" s="110">
        <v>0</v>
      </c>
      <c r="G17" s="141">
        <f t="shared" si="1"/>
        <v>0</v>
      </c>
      <c r="H17" s="202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55">
        <f t="shared" si="3"/>
        <v>0</v>
      </c>
      <c r="N17" s="156">
        <f t="shared" si="4"/>
        <v>0</v>
      </c>
      <c r="O17" s="17"/>
    </row>
    <row r="18" spans="1:15">
      <c r="A18" s="139" t="s">
        <v>11</v>
      </c>
      <c r="B18" s="110">
        <v>0</v>
      </c>
      <c r="C18" s="202">
        <v>0</v>
      </c>
      <c r="D18" s="202">
        <v>0</v>
      </c>
      <c r="E18" s="141">
        <f t="shared" si="0"/>
        <v>0</v>
      </c>
      <c r="F18" s="110">
        <v>0</v>
      </c>
      <c r="G18" s="141">
        <f t="shared" si="1"/>
        <v>0</v>
      </c>
      <c r="H18" s="202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55">
        <f t="shared" si="3"/>
        <v>0</v>
      </c>
      <c r="N18" s="156">
        <f t="shared" si="4"/>
        <v>0</v>
      </c>
      <c r="O18" s="17"/>
    </row>
    <row r="19" spans="1:15">
      <c r="A19" s="139" t="s">
        <v>12</v>
      </c>
      <c r="B19" s="110">
        <v>0</v>
      </c>
      <c r="C19" s="202">
        <v>0</v>
      </c>
      <c r="D19" s="202">
        <v>0</v>
      </c>
      <c r="E19" s="141">
        <f t="shared" si="0"/>
        <v>0</v>
      </c>
      <c r="F19" s="110">
        <v>0</v>
      </c>
      <c r="G19" s="141">
        <f t="shared" si="1"/>
        <v>0</v>
      </c>
      <c r="H19" s="202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55">
        <f t="shared" si="3"/>
        <v>0</v>
      </c>
      <c r="N19" s="156">
        <f t="shared" si="4"/>
        <v>0</v>
      </c>
      <c r="O19" s="17"/>
    </row>
    <row r="20" spans="1:15">
      <c r="A20" s="139" t="s">
        <v>13</v>
      </c>
      <c r="B20" s="110">
        <v>0</v>
      </c>
      <c r="C20" s="202">
        <v>0</v>
      </c>
      <c r="D20" s="202">
        <v>0</v>
      </c>
      <c r="E20" s="141">
        <f t="shared" si="0"/>
        <v>0</v>
      </c>
      <c r="F20" s="110">
        <v>0</v>
      </c>
      <c r="G20" s="141">
        <f t="shared" si="1"/>
        <v>0</v>
      </c>
      <c r="H20" s="202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55">
        <f t="shared" si="3"/>
        <v>0</v>
      </c>
      <c r="N20" s="156">
        <f t="shared" si="4"/>
        <v>0</v>
      </c>
      <c r="O20" s="17"/>
    </row>
    <row r="21" spans="1:15">
      <c r="A21" s="139" t="s">
        <v>14</v>
      </c>
      <c r="B21" s="110">
        <v>559</v>
      </c>
      <c r="C21" s="202">
        <v>0</v>
      </c>
      <c r="D21" s="202">
        <v>0</v>
      </c>
      <c r="E21" s="141">
        <f t="shared" si="0"/>
        <v>559</v>
      </c>
      <c r="F21" s="110">
        <v>0</v>
      </c>
      <c r="G21" s="141">
        <f t="shared" si="1"/>
        <v>550</v>
      </c>
      <c r="H21" s="202">
        <v>3</v>
      </c>
      <c r="I21" s="110">
        <v>0</v>
      </c>
      <c r="J21" s="141">
        <f t="shared" si="2"/>
        <v>1</v>
      </c>
      <c r="K21" s="110">
        <v>6</v>
      </c>
      <c r="L21" s="110">
        <v>2</v>
      </c>
      <c r="M21" s="155">
        <f t="shared" si="3"/>
        <v>8</v>
      </c>
      <c r="N21" s="156">
        <f t="shared" si="4"/>
        <v>1E-3</v>
      </c>
      <c r="O21" s="17"/>
    </row>
    <row r="22" spans="1:15">
      <c r="A22" s="139" t="s">
        <v>15</v>
      </c>
      <c r="B22" s="110">
        <v>7028</v>
      </c>
      <c r="C22" s="202">
        <v>0</v>
      </c>
      <c r="D22" s="202">
        <v>0</v>
      </c>
      <c r="E22" s="141">
        <f t="shared" si="0"/>
        <v>7028</v>
      </c>
      <c r="F22" s="110">
        <v>344</v>
      </c>
      <c r="G22" s="141">
        <f t="shared" si="1"/>
        <v>3330</v>
      </c>
      <c r="H22" s="202">
        <v>2612</v>
      </c>
      <c r="I22" s="110">
        <v>0</v>
      </c>
      <c r="J22" s="141">
        <f>H22-I22-L22</f>
        <v>204</v>
      </c>
      <c r="K22" s="110">
        <v>742</v>
      </c>
      <c r="L22" s="110">
        <v>2408</v>
      </c>
      <c r="M22" s="155">
        <f t="shared" si="3"/>
        <v>3150</v>
      </c>
      <c r="N22" s="156">
        <f>ROUND(+M22/$K$9,3)</f>
        <v>0.54700000000000004</v>
      </c>
      <c r="O22" s="17"/>
    </row>
    <row r="23" spans="1:15">
      <c r="A23" s="139" t="s">
        <v>16</v>
      </c>
      <c r="B23" s="110">
        <v>5216</v>
      </c>
      <c r="C23" s="202">
        <v>0</v>
      </c>
      <c r="D23" s="202">
        <v>0</v>
      </c>
      <c r="E23" s="141">
        <f t="shared" si="0"/>
        <v>5216</v>
      </c>
      <c r="F23" s="110">
        <v>257</v>
      </c>
      <c r="G23" s="141">
        <f t="shared" si="1"/>
        <v>1779</v>
      </c>
      <c r="H23" s="202">
        <v>2344</v>
      </c>
      <c r="I23" s="110">
        <v>0</v>
      </c>
      <c r="J23" s="141">
        <f t="shared" si="2"/>
        <v>177</v>
      </c>
      <c r="K23" s="110">
        <v>836</v>
      </c>
      <c r="L23" s="110">
        <v>2167</v>
      </c>
      <c r="M23" s="155">
        <f t="shared" si="3"/>
        <v>3003</v>
      </c>
      <c r="N23" s="156">
        <f t="shared" si="4"/>
        <v>0.52200000000000002</v>
      </c>
      <c r="O23" s="17"/>
    </row>
    <row r="24" spans="1:15">
      <c r="A24" s="139" t="s">
        <v>17</v>
      </c>
      <c r="B24" s="110">
        <v>0</v>
      </c>
      <c r="C24" s="202">
        <v>0</v>
      </c>
      <c r="D24" s="202">
        <v>0</v>
      </c>
      <c r="E24" s="141">
        <f t="shared" si="0"/>
        <v>0</v>
      </c>
      <c r="F24" s="110">
        <v>0</v>
      </c>
      <c r="G24" s="141">
        <f t="shared" si="1"/>
        <v>0</v>
      </c>
      <c r="H24" s="202">
        <v>0</v>
      </c>
      <c r="I24" s="110">
        <v>0</v>
      </c>
      <c r="J24" s="141">
        <f t="shared" si="2"/>
        <v>0</v>
      </c>
      <c r="K24" s="110">
        <v>0</v>
      </c>
      <c r="L24" s="110">
        <v>0</v>
      </c>
      <c r="M24" s="155">
        <f t="shared" si="3"/>
        <v>0</v>
      </c>
      <c r="N24" s="156">
        <f t="shared" si="4"/>
        <v>0</v>
      </c>
      <c r="O24" s="17"/>
    </row>
    <row r="25" spans="1:15">
      <c r="A25" s="139" t="s">
        <v>18</v>
      </c>
      <c r="B25" s="110">
        <v>0</v>
      </c>
      <c r="C25" s="202">
        <v>0</v>
      </c>
      <c r="D25" s="202">
        <v>0</v>
      </c>
      <c r="E25" s="141">
        <f t="shared" si="0"/>
        <v>0</v>
      </c>
      <c r="F25" s="110">
        <v>0</v>
      </c>
      <c r="G25" s="141">
        <f t="shared" si="1"/>
        <v>0</v>
      </c>
      <c r="H25" s="202">
        <v>0</v>
      </c>
      <c r="I25" s="110">
        <v>0</v>
      </c>
      <c r="J25" s="141">
        <f t="shared" si="2"/>
        <v>0</v>
      </c>
      <c r="K25" s="110">
        <v>0</v>
      </c>
      <c r="L25" s="110">
        <v>0</v>
      </c>
      <c r="M25" s="155">
        <f t="shared" si="3"/>
        <v>0</v>
      </c>
      <c r="N25" s="156">
        <f t="shared" si="4"/>
        <v>0</v>
      </c>
      <c r="O25" s="17"/>
    </row>
    <row r="26" spans="1:15">
      <c r="A26" s="139" t="s">
        <v>19</v>
      </c>
      <c r="B26" s="110">
        <v>0</v>
      </c>
      <c r="C26" s="202">
        <v>0</v>
      </c>
      <c r="D26" s="202">
        <v>0</v>
      </c>
      <c r="E26" s="141">
        <f t="shared" si="0"/>
        <v>0</v>
      </c>
      <c r="F26" s="110">
        <v>0</v>
      </c>
      <c r="G26" s="141">
        <f t="shared" si="1"/>
        <v>0</v>
      </c>
      <c r="H26" s="202">
        <v>0</v>
      </c>
      <c r="I26" s="110">
        <v>0</v>
      </c>
      <c r="J26" s="141">
        <f t="shared" si="2"/>
        <v>0</v>
      </c>
      <c r="K26" s="110">
        <v>0</v>
      </c>
      <c r="L26" s="110">
        <v>0</v>
      </c>
      <c r="M26" s="155">
        <f t="shared" si="3"/>
        <v>0</v>
      </c>
      <c r="N26" s="156">
        <f t="shared" si="4"/>
        <v>0</v>
      </c>
      <c r="O26" s="17"/>
    </row>
    <row r="27" spans="1:15">
      <c r="A27" s="139" t="s">
        <v>20</v>
      </c>
      <c r="B27" s="110">
        <v>0</v>
      </c>
      <c r="C27" s="202">
        <v>0</v>
      </c>
      <c r="D27" s="202">
        <v>0</v>
      </c>
      <c r="E27" s="141">
        <f t="shared" si="0"/>
        <v>0</v>
      </c>
      <c r="F27" s="110">
        <v>0</v>
      </c>
      <c r="G27" s="141">
        <f t="shared" si="1"/>
        <v>0</v>
      </c>
      <c r="H27" s="202">
        <v>0</v>
      </c>
      <c r="I27" s="110">
        <v>0</v>
      </c>
      <c r="J27" s="141">
        <f t="shared" si="2"/>
        <v>0</v>
      </c>
      <c r="K27" s="110">
        <v>0</v>
      </c>
      <c r="L27" s="110">
        <v>0</v>
      </c>
      <c r="M27" s="155">
        <f t="shared" si="3"/>
        <v>0</v>
      </c>
      <c r="N27" s="156">
        <f t="shared" si="4"/>
        <v>0</v>
      </c>
      <c r="O27" s="17"/>
    </row>
    <row r="28" spans="1:15" ht="15.75" thickBot="1">
      <c r="A28" s="139" t="s">
        <v>21</v>
      </c>
      <c r="B28" s="157">
        <f>SUM(B16:B27)</f>
        <v>12803</v>
      </c>
      <c r="C28" s="157">
        <f>SUM(C16:C27)</f>
        <v>0</v>
      </c>
      <c r="D28" s="157">
        <f>SUM(D16:D27)</f>
        <v>0</v>
      </c>
      <c r="E28" s="157">
        <f>SUM(E16:E27)</f>
        <v>12803</v>
      </c>
      <c r="F28" s="157">
        <f>SUM(F16:F27)</f>
        <v>601</v>
      </c>
      <c r="G28" s="157">
        <f t="shared" si="1"/>
        <v>5659</v>
      </c>
      <c r="H28" s="157">
        <f>SUM(H16:H27)</f>
        <v>4959</v>
      </c>
      <c r="I28" s="157">
        <f>SUM(I16:I27)</f>
        <v>0</v>
      </c>
      <c r="J28" s="157">
        <f t="shared" si="2"/>
        <v>382</v>
      </c>
      <c r="K28" s="157">
        <f>SUM(K16:K27)</f>
        <v>1584</v>
      </c>
      <c r="L28" s="157">
        <f>SUM(L16:L27)</f>
        <v>4577</v>
      </c>
      <c r="M28" s="158">
        <f>SUM(M16:M27)</f>
        <v>6161</v>
      </c>
      <c r="N28" s="159">
        <f t="shared" si="4"/>
        <v>1.07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5">ROUND(+E28/$K$9,2)</f>
        <v>2.2200000000000002</v>
      </c>
      <c r="F29" s="160">
        <f t="shared" si="5"/>
        <v>0.1</v>
      </c>
      <c r="G29" s="160">
        <f t="shared" si="5"/>
        <v>0.98</v>
      </c>
      <c r="H29" s="160">
        <f t="shared" si="5"/>
        <v>0.86</v>
      </c>
      <c r="I29" s="160">
        <f t="shared" si="5"/>
        <v>0</v>
      </c>
      <c r="J29" s="160">
        <f t="shared" si="5"/>
        <v>7.0000000000000007E-2</v>
      </c>
      <c r="K29" s="160">
        <f t="shared" si="5"/>
        <v>0.28000000000000003</v>
      </c>
      <c r="L29" s="160">
        <f t="shared" si="5"/>
        <v>0.8</v>
      </c>
      <c r="M29" s="161">
        <f t="shared" si="5"/>
        <v>1.07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6">E28/$E$28*100</f>
        <v>100</v>
      </c>
      <c r="F30" s="144">
        <f t="shared" si="6"/>
        <v>4.6942122939935951</v>
      </c>
      <c r="G30" s="144">
        <f t="shared" si="6"/>
        <v>44.200577989533699</v>
      </c>
      <c r="H30" s="144">
        <f t="shared" si="6"/>
        <v>38.733109427477935</v>
      </c>
      <c r="I30" s="144">
        <f t="shared" si="6"/>
        <v>0</v>
      </c>
      <c r="J30" s="144">
        <f t="shared" si="6"/>
        <v>2.9836757010075763</v>
      </c>
      <c r="K30" s="144">
        <f t="shared" si="6"/>
        <v>12.372100288994767</v>
      </c>
      <c r="L30" s="144">
        <f t="shared" si="6"/>
        <v>35.749433726470357</v>
      </c>
      <c r="M30" s="164">
        <f t="shared" si="6"/>
        <v>48.121534015465123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  <c r="O31" s="1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"/>
      <c r="N32" s="1"/>
      <c r="O32" s="1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"/>
      <c r="N33" s="1"/>
      <c r="O33" s="1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"/>
      <c r="N34" s="1"/>
      <c r="O34" s="1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"/>
      <c r="N35" s="1"/>
      <c r="O35" s="1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"/>
      <c r="N37" s="1"/>
      <c r="O37" s="1"/>
    </row>
    <row r="40" spans="1:15" ht="20.25">
      <c r="A40" s="200"/>
      <c r="B40" s="200"/>
      <c r="C40" s="200"/>
      <c r="D40" s="200"/>
      <c r="E40" s="200"/>
      <c r="F40" s="200"/>
      <c r="G40" s="200"/>
      <c r="H40" s="200"/>
      <c r="I40" s="200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8"/>
  <sheetViews>
    <sheetView showOutlineSymbols="0" zoomScale="87" zoomScaleNormal="87" workbookViewId="0">
      <selection activeCell="R31" sqref="R31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32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141</v>
      </c>
      <c r="C8" s="2"/>
      <c r="D8" s="2"/>
      <c r="E8" s="2"/>
      <c r="F8" s="2"/>
      <c r="G8" s="8" t="s">
        <v>56</v>
      </c>
      <c r="H8" s="2"/>
      <c r="I8" s="2" t="s">
        <v>152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78">
        <v>13462.7</v>
      </c>
      <c r="L9" s="11"/>
      <c r="M9" s="10" t="s">
        <v>77</v>
      </c>
      <c r="N9" s="119">
        <v>2022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142</v>
      </c>
      <c r="C12" s="18" t="s">
        <v>142</v>
      </c>
      <c r="D12" s="18" t="s">
        <v>142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143</v>
      </c>
      <c r="C13" s="23" t="s">
        <v>143</v>
      </c>
      <c r="D13" s="23" t="s">
        <v>149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 t="s">
        <v>85</v>
      </c>
      <c r="O13" s="17"/>
    </row>
    <row r="14" spans="1:15">
      <c r="A14" s="23" t="s">
        <v>8</v>
      </c>
      <c r="B14" s="23" t="s">
        <v>144</v>
      </c>
      <c r="C14" s="23" t="s">
        <v>144</v>
      </c>
      <c r="D14" s="23" t="s">
        <v>150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145</v>
      </c>
      <c r="C15" s="23" t="s">
        <v>148</v>
      </c>
      <c r="D15" s="23" t="s">
        <v>151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30" t="s">
        <v>9</v>
      </c>
      <c r="B16" s="179">
        <v>0</v>
      </c>
      <c r="C16" s="179">
        <v>0</v>
      </c>
      <c r="D16" s="203">
        <f t="shared" ref="D16:D28" si="0">H16+K16</f>
        <v>0</v>
      </c>
      <c r="E16" s="32">
        <f t="shared" ref="E16:E27" si="1">B16+C16+D16</f>
        <v>0</v>
      </c>
      <c r="F16" s="110">
        <v>0</v>
      </c>
      <c r="G16" s="32">
        <f t="shared" ref="G16:G28" si="2">E16-F16-H16-K16</f>
        <v>0</v>
      </c>
      <c r="H16" s="110">
        <v>0</v>
      </c>
      <c r="I16" s="110">
        <v>0</v>
      </c>
      <c r="J16" s="32">
        <f t="shared" ref="J16:J28" si="3">H16-I16-L16</f>
        <v>0</v>
      </c>
      <c r="K16" s="110">
        <v>0</v>
      </c>
      <c r="L16" s="110">
        <v>0</v>
      </c>
      <c r="M16" s="32">
        <f t="shared" ref="M16:M27" si="4">SUM(K16:L16)</f>
        <v>0</v>
      </c>
      <c r="N16" s="30">
        <f t="shared" ref="N16:N27" si="5">ROUND(+M16/$K$9,3)</f>
        <v>0</v>
      </c>
      <c r="O16" s="17"/>
    </row>
    <row r="17" spans="1:15">
      <c r="A17" s="30" t="s">
        <v>10</v>
      </c>
      <c r="B17" s="179">
        <v>0</v>
      </c>
      <c r="C17" s="179">
        <v>0</v>
      </c>
      <c r="D17" s="203">
        <f t="shared" si="0"/>
        <v>0</v>
      </c>
      <c r="E17" s="32">
        <f t="shared" si="1"/>
        <v>0</v>
      </c>
      <c r="F17" s="110">
        <v>0</v>
      </c>
      <c r="G17" s="32">
        <f t="shared" si="2"/>
        <v>0</v>
      </c>
      <c r="H17" s="110">
        <v>0</v>
      </c>
      <c r="I17" s="110">
        <v>0</v>
      </c>
      <c r="J17" s="32">
        <f t="shared" si="3"/>
        <v>0</v>
      </c>
      <c r="K17" s="110">
        <v>0</v>
      </c>
      <c r="L17" s="110">
        <v>0</v>
      </c>
      <c r="M17" s="32">
        <f t="shared" si="4"/>
        <v>0</v>
      </c>
      <c r="N17" s="30">
        <f t="shared" si="5"/>
        <v>0</v>
      </c>
      <c r="O17" s="17"/>
    </row>
    <row r="18" spans="1:15">
      <c r="A18" s="30" t="s">
        <v>11</v>
      </c>
      <c r="B18" s="179">
        <v>0</v>
      </c>
      <c r="C18" s="179">
        <v>0</v>
      </c>
      <c r="D18" s="203">
        <f t="shared" si="0"/>
        <v>0</v>
      </c>
      <c r="E18" s="32">
        <f t="shared" si="1"/>
        <v>0</v>
      </c>
      <c r="F18" s="110">
        <v>0</v>
      </c>
      <c r="G18" s="32">
        <f t="shared" si="2"/>
        <v>0</v>
      </c>
      <c r="H18" s="110">
        <v>0</v>
      </c>
      <c r="I18" s="110">
        <v>0</v>
      </c>
      <c r="J18" s="32">
        <f t="shared" si="3"/>
        <v>0</v>
      </c>
      <c r="K18" s="110">
        <v>0</v>
      </c>
      <c r="L18" s="110">
        <v>0</v>
      </c>
      <c r="M18" s="32">
        <f t="shared" si="4"/>
        <v>0</v>
      </c>
      <c r="N18" s="30">
        <f t="shared" si="5"/>
        <v>0</v>
      </c>
      <c r="O18" s="17"/>
    </row>
    <row r="19" spans="1:15">
      <c r="A19" s="30" t="s">
        <v>12</v>
      </c>
      <c r="B19" s="179">
        <v>0</v>
      </c>
      <c r="C19" s="179">
        <v>0</v>
      </c>
      <c r="D19" s="203">
        <f t="shared" si="0"/>
        <v>0</v>
      </c>
      <c r="E19" s="32">
        <f t="shared" si="1"/>
        <v>0</v>
      </c>
      <c r="F19" s="110">
        <v>0</v>
      </c>
      <c r="G19" s="32">
        <f t="shared" si="2"/>
        <v>0</v>
      </c>
      <c r="H19" s="110">
        <v>0</v>
      </c>
      <c r="I19" s="110">
        <v>0</v>
      </c>
      <c r="J19" s="32">
        <f t="shared" si="3"/>
        <v>0</v>
      </c>
      <c r="K19" s="110">
        <v>0</v>
      </c>
      <c r="L19" s="110">
        <v>0</v>
      </c>
      <c r="M19" s="32">
        <f t="shared" si="4"/>
        <v>0</v>
      </c>
      <c r="N19" s="30">
        <f t="shared" si="5"/>
        <v>0</v>
      </c>
      <c r="O19" s="17"/>
    </row>
    <row r="20" spans="1:15">
      <c r="A20" s="30" t="s">
        <v>13</v>
      </c>
      <c r="B20" s="179">
        <v>0</v>
      </c>
      <c r="C20" s="179">
        <v>0</v>
      </c>
      <c r="D20" s="203">
        <f t="shared" si="0"/>
        <v>0</v>
      </c>
      <c r="E20" s="32">
        <f t="shared" si="1"/>
        <v>0</v>
      </c>
      <c r="F20" s="110">
        <v>0</v>
      </c>
      <c r="G20" s="32">
        <f t="shared" si="2"/>
        <v>0</v>
      </c>
      <c r="H20" s="110">
        <v>0</v>
      </c>
      <c r="I20" s="110">
        <v>0</v>
      </c>
      <c r="J20" s="32">
        <f t="shared" si="3"/>
        <v>0</v>
      </c>
      <c r="K20" s="110">
        <v>0</v>
      </c>
      <c r="L20" s="110">
        <v>0</v>
      </c>
      <c r="M20" s="32">
        <f t="shared" si="4"/>
        <v>0</v>
      </c>
      <c r="N20" s="30">
        <f t="shared" si="5"/>
        <v>0</v>
      </c>
      <c r="O20" s="17"/>
    </row>
    <row r="21" spans="1:15">
      <c r="A21" s="30" t="s">
        <v>14</v>
      </c>
      <c r="B21" s="179">
        <v>1853</v>
      </c>
      <c r="C21" s="179">
        <v>1341</v>
      </c>
      <c r="D21" s="203">
        <f>H21+K21</f>
        <v>1986.6</v>
      </c>
      <c r="E21" s="32">
        <f>B21+C21+D21</f>
        <v>5180.6000000000004</v>
      </c>
      <c r="F21" s="110">
        <v>0</v>
      </c>
      <c r="G21" s="32">
        <f t="shared" si="2"/>
        <v>3194.0000000000005</v>
      </c>
      <c r="H21" s="110">
        <v>1566.2</v>
      </c>
      <c r="I21" s="110">
        <v>296.89999999999998</v>
      </c>
      <c r="J21" s="32">
        <f t="shared" si="3"/>
        <v>671.70000000000016</v>
      </c>
      <c r="K21" s="110">
        <v>420.4</v>
      </c>
      <c r="L21" s="110">
        <v>597.6</v>
      </c>
      <c r="M21" s="32">
        <f t="shared" si="4"/>
        <v>1018</v>
      </c>
      <c r="N21" s="30">
        <f t="shared" si="5"/>
        <v>7.5999999999999998E-2</v>
      </c>
      <c r="O21" s="17"/>
    </row>
    <row r="22" spans="1:15">
      <c r="A22" s="30" t="s">
        <v>15</v>
      </c>
      <c r="B22" s="179">
        <v>1466</v>
      </c>
      <c r="C22" s="179">
        <v>1346</v>
      </c>
      <c r="D22" s="203">
        <f t="shared" si="0"/>
        <v>3362.7999999999997</v>
      </c>
      <c r="E22" s="32">
        <f t="shared" si="1"/>
        <v>6174.7999999999993</v>
      </c>
      <c r="F22" s="110">
        <v>0</v>
      </c>
      <c r="G22" s="32">
        <f t="shared" si="2"/>
        <v>2811.9999999999995</v>
      </c>
      <c r="H22" s="110">
        <v>2282.1999999999998</v>
      </c>
      <c r="I22" s="110">
        <v>368.34</v>
      </c>
      <c r="J22" s="32">
        <f t="shared" si="3"/>
        <v>587.45999999999981</v>
      </c>
      <c r="K22" s="110">
        <v>1080.5999999999999</v>
      </c>
      <c r="L22" s="110">
        <v>1326.4</v>
      </c>
      <c r="M22" s="32">
        <f t="shared" si="4"/>
        <v>2407</v>
      </c>
      <c r="N22" s="30">
        <f t="shared" si="5"/>
        <v>0.17899999999999999</v>
      </c>
      <c r="O22" s="17"/>
    </row>
    <row r="23" spans="1:15">
      <c r="A23" s="30" t="s">
        <v>16</v>
      </c>
      <c r="B23" s="179">
        <v>1355</v>
      </c>
      <c r="C23" s="179">
        <v>589</v>
      </c>
      <c r="D23" s="203">
        <f t="shared" si="0"/>
        <v>7052.4</v>
      </c>
      <c r="E23" s="32">
        <f t="shared" si="1"/>
        <v>8996.4</v>
      </c>
      <c r="F23" s="110">
        <v>0</v>
      </c>
      <c r="G23" s="32">
        <f t="shared" si="2"/>
        <v>1944</v>
      </c>
      <c r="H23" s="110">
        <v>4580.2</v>
      </c>
      <c r="I23" s="179">
        <v>536.54</v>
      </c>
      <c r="J23" s="32">
        <f t="shared" si="3"/>
        <v>852.46</v>
      </c>
      <c r="K23" s="110">
        <v>2472.1999999999998</v>
      </c>
      <c r="L23" s="110">
        <v>3191.2</v>
      </c>
      <c r="M23" s="32">
        <f t="shared" si="4"/>
        <v>5663.4</v>
      </c>
      <c r="N23" s="197">
        <f t="shared" si="5"/>
        <v>0.42099999999999999</v>
      </c>
      <c r="O23" s="17"/>
    </row>
    <row r="24" spans="1:15">
      <c r="A24" s="30" t="s">
        <v>17</v>
      </c>
      <c r="B24" s="223">
        <v>232</v>
      </c>
      <c r="C24" s="179">
        <v>-7</v>
      </c>
      <c r="D24" s="203">
        <f t="shared" si="0"/>
        <v>2090.1999999999998</v>
      </c>
      <c r="E24" s="32">
        <f t="shared" si="1"/>
        <v>2315.1999999999998</v>
      </c>
      <c r="F24" s="110">
        <v>0</v>
      </c>
      <c r="G24" s="71">
        <f t="shared" si="2"/>
        <v>224.99999999999977</v>
      </c>
      <c r="H24" s="110">
        <v>1136</v>
      </c>
      <c r="I24" s="179">
        <v>251.12</v>
      </c>
      <c r="J24" s="32">
        <f t="shared" si="3"/>
        <v>202.48000000000002</v>
      </c>
      <c r="K24" s="110">
        <v>954.2</v>
      </c>
      <c r="L24" s="110">
        <v>682.4</v>
      </c>
      <c r="M24" s="32">
        <f t="shared" si="4"/>
        <v>1636.6</v>
      </c>
      <c r="N24" s="30">
        <f t="shared" si="5"/>
        <v>0.122</v>
      </c>
      <c r="O24" s="17"/>
    </row>
    <row r="25" spans="1:15">
      <c r="A25" s="30" t="s">
        <v>18</v>
      </c>
      <c r="B25" s="179">
        <v>0</v>
      </c>
      <c r="C25" s="179">
        <v>0</v>
      </c>
      <c r="D25" s="203">
        <f t="shared" si="0"/>
        <v>0</v>
      </c>
      <c r="E25" s="32">
        <f>B25+C25+D25</f>
        <v>0</v>
      </c>
      <c r="F25" s="110">
        <v>0</v>
      </c>
      <c r="G25" s="32">
        <f t="shared" si="2"/>
        <v>0</v>
      </c>
      <c r="H25" s="110">
        <v>0</v>
      </c>
      <c r="I25" s="110">
        <v>0</v>
      </c>
      <c r="J25" s="32">
        <f t="shared" si="3"/>
        <v>0</v>
      </c>
      <c r="K25" s="110">
        <v>0</v>
      </c>
      <c r="L25" s="110">
        <v>0</v>
      </c>
      <c r="M25" s="32">
        <f t="shared" si="4"/>
        <v>0</v>
      </c>
      <c r="N25" s="30">
        <f t="shared" si="5"/>
        <v>0</v>
      </c>
      <c r="O25" s="17"/>
    </row>
    <row r="26" spans="1:15">
      <c r="A26" s="30" t="s">
        <v>19</v>
      </c>
      <c r="B26" s="179">
        <v>0</v>
      </c>
      <c r="C26" s="179">
        <v>0</v>
      </c>
      <c r="D26" s="203">
        <f t="shared" si="0"/>
        <v>0</v>
      </c>
      <c r="E26" s="32">
        <f t="shared" si="1"/>
        <v>0</v>
      </c>
      <c r="F26" s="110">
        <v>0</v>
      </c>
      <c r="G26" s="32">
        <f t="shared" si="2"/>
        <v>0</v>
      </c>
      <c r="H26" s="110">
        <v>0</v>
      </c>
      <c r="I26" s="110">
        <v>0</v>
      </c>
      <c r="J26" s="32">
        <f t="shared" si="3"/>
        <v>0</v>
      </c>
      <c r="K26" s="110">
        <v>0</v>
      </c>
      <c r="L26" s="110">
        <v>0</v>
      </c>
      <c r="M26" s="32">
        <f t="shared" si="4"/>
        <v>0</v>
      </c>
      <c r="N26" s="30">
        <f t="shared" si="5"/>
        <v>0</v>
      </c>
      <c r="O26" s="17"/>
    </row>
    <row r="27" spans="1:15">
      <c r="A27" s="30" t="s">
        <v>20</v>
      </c>
      <c r="B27" s="179">
        <v>0</v>
      </c>
      <c r="C27" s="179">
        <v>0</v>
      </c>
      <c r="D27" s="203">
        <f t="shared" si="0"/>
        <v>0</v>
      </c>
      <c r="E27" s="32">
        <f t="shared" si="1"/>
        <v>0</v>
      </c>
      <c r="F27" s="110">
        <v>0</v>
      </c>
      <c r="G27" s="32">
        <f t="shared" si="2"/>
        <v>0</v>
      </c>
      <c r="H27" s="110">
        <v>0</v>
      </c>
      <c r="I27" s="110">
        <v>0</v>
      </c>
      <c r="J27" s="32">
        <f t="shared" si="3"/>
        <v>0</v>
      </c>
      <c r="K27" s="110">
        <v>0</v>
      </c>
      <c r="L27" s="110">
        <v>0</v>
      </c>
      <c r="M27" s="32">
        <f t="shared" si="4"/>
        <v>0</v>
      </c>
      <c r="N27" s="30">
        <f t="shared" si="5"/>
        <v>0</v>
      </c>
      <c r="O27" s="17"/>
    </row>
    <row r="28" spans="1:15" ht="15.75" thickBot="1">
      <c r="A28" s="30" t="s">
        <v>21</v>
      </c>
      <c r="B28" s="182">
        <f>SUM(B16:B27)</f>
        <v>4906</v>
      </c>
      <c r="C28" s="182">
        <f>SUM(C16:C27)</f>
        <v>3269</v>
      </c>
      <c r="D28" s="32">
        <f t="shared" si="0"/>
        <v>14491.999999999998</v>
      </c>
      <c r="E28" s="32">
        <f>SUM(E16:E27)</f>
        <v>22667</v>
      </c>
      <c r="F28" s="32">
        <f>SUM(F16:F27)</f>
        <v>0</v>
      </c>
      <c r="G28" s="32">
        <f t="shared" si="2"/>
        <v>8175.0000000000018</v>
      </c>
      <c r="H28" s="32">
        <f>SUM(H16:H27)</f>
        <v>9564.5999999999985</v>
      </c>
      <c r="I28" s="32">
        <f>SUM(I16:I27)</f>
        <v>1452.9</v>
      </c>
      <c r="J28" s="123">
        <f t="shared" si="3"/>
        <v>2314.0999999999995</v>
      </c>
      <c r="K28" s="32">
        <f>SUM(K16:K27)</f>
        <v>4927.3999999999996</v>
      </c>
      <c r="L28" s="32">
        <f>SUM(L16:L27)</f>
        <v>5797.5999999999995</v>
      </c>
      <c r="M28" s="32">
        <f>SUM(M16:M27)</f>
        <v>10725</v>
      </c>
      <c r="N28" s="197">
        <f>SUM(N16:N27)</f>
        <v>0.79799999999999993</v>
      </c>
      <c r="O28" s="17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1.68</v>
      </c>
      <c r="F29" s="72">
        <f t="shared" si="6"/>
        <v>0</v>
      </c>
      <c r="G29" s="72">
        <f t="shared" si="6"/>
        <v>0.61</v>
      </c>
      <c r="H29" s="72">
        <f t="shared" si="6"/>
        <v>0.71</v>
      </c>
      <c r="I29" s="72">
        <f t="shared" si="6"/>
        <v>0.11</v>
      </c>
      <c r="J29" s="72">
        <f t="shared" si="6"/>
        <v>0.17</v>
      </c>
      <c r="K29" s="36">
        <f t="shared" si="6"/>
        <v>0.37</v>
      </c>
      <c r="L29" s="36">
        <f t="shared" si="6"/>
        <v>0.43</v>
      </c>
      <c r="M29" s="36">
        <f t="shared" si="6"/>
        <v>0.8</v>
      </c>
      <c r="N29" s="72"/>
      <c r="O29" s="17"/>
    </row>
    <row r="30" spans="1:15">
      <c r="A30" s="30" t="s">
        <v>23</v>
      </c>
      <c r="B30" s="30"/>
      <c r="C30" s="30"/>
      <c r="D30" s="30"/>
      <c r="E30" s="71">
        <f t="shared" ref="E30:M30" si="7">E28/$E$28*100</f>
        <v>100</v>
      </c>
      <c r="F30" s="71">
        <f t="shared" si="7"/>
        <v>0</v>
      </c>
      <c r="G30" s="39">
        <f t="shared" si="7"/>
        <v>36.06564609343981</v>
      </c>
      <c r="H30" s="39">
        <f t="shared" si="7"/>
        <v>42.196144174350373</v>
      </c>
      <c r="I30" s="39">
        <f t="shared" si="7"/>
        <v>6.4097586800194115</v>
      </c>
      <c r="J30" s="39">
        <f t="shared" si="7"/>
        <v>10.20911457184453</v>
      </c>
      <c r="K30" s="39">
        <f t="shared" si="7"/>
        <v>21.738209732209818</v>
      </c>
      <c r="L30" s="39">
        <f t="shared" si="7"/>
        <v>25.577270922486434</v>
      </c>
      <c r="M30" s="39">
        <f t="shared" si="7"/>
        <v>47.315480654696259</v>
      </c>
      <c r="N30" s="30"/>
      <c r="O30" s="17"/>
    </row>
    <row r="31" spans="1:15">
      <c r="A31" s="19" t="s">
        <v>24</v>
      </c>
      <c r="B31" s="19" t="s">
        <v>146</v>
      </c>
      <c r="C31" s="73"/>
      <c r="D31" s="73"/>
      <c r="E31" s="73"/>
      <c r="F31" s="73"/>
      <c r="G31" s="73"/>
      <c r="H31" s="73"/>
      <c r="I31" s="19" t="s">
        <v>66</v>
      </c>
      <c r="J31" s="73"/>
      <c r="K31" s="73"/>
      <c r="L31" s="73"/>
      <c r="M31" s="73"/>
      <c r="N31" s="73"/>
    </row>
    <row r="32" spans="1:15">
      <c r="A32" s="24"/>
      <c r="B32" s="24" t="s">
        <v>147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2" t="s">
        <v>139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140</v>
      </c>
      <c r="B36" s="2"/>
      <c r="C36" s="2"/>
      <c r="D36" s="2"/>
      <c r="E36" s="74"/>
      <c r="F36" s="2"/>
      <c r="G36" s="2"/>
      <c r="H36" s="2"/>
      <c r="I36" s="75"/>
      <c r="J36" s="2"/>
      <c r="K36" s="2"/>
      <c r="L36" s="2"/>
      <c r="M36" s="2"/>
      <c r="N36" s="2"/>
    </row>
    <row r="37" spans="1:15">
      <c r="A37" s="76" t="s">
        <v>0</v>
      </c>
      <c r="B37" s="2"/>
      <c r="C37" s="2"/>
      <c r="D37" s="2"/>
      <c r="E37" s="74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38"/>
  <sheetViews>
    <sheetView showOutlineSymbols="0" zoomScale="87" zoomScaleNormal="87" workbookViewId="0">
      <selection activeCell="Q29" sqref="Q29"/>
    </sheetView>
  </sheetViews>
  <sheetFormatPr defaultColWidth="9.6640625" defaultRowHeight="15"/>
  <cols>
    <col min="1" max="1" width="15.77734375" style="78" customWidth="1"/>
    <col min="2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3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153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0">
        <v>27181.4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154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155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ROUND(SUM(K16:L16),0)</f>
        <v>0</v>
      </c>
      <c r="N16" s="71">
        <f t="shared" ref="N16:N27" si="4">ROUND(+M16/$K$9,3)</f>
        <v>0</v>
      </c>
      <c r="O16" s="85"/>
    </row>
    <row r="17" spans="1:15">
      <c r="A17" s="71" t="s">
        <v>10</v>
      </c>
      <c r="B17" s="111">
        <v>0</v>
      </c>
      <c r="C17" s="213">
        <v>0</v>
      </c>
      <c r="D17" s="213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213">
        <v>0</v>
      </c>
      <c r="D18" s="213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213">
        <v>0</v>
      </c>
      <c r="D19" s="213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1326</v>
      </c>
      <c r="C20" s="213">
        <v>0</v>
      </c>
      <c r="D20" s="213">
        <v>0</v>
      </c>
      <c r="E20" s="32">
        <f t="shared" si="0"/>
        <v>1326</v>
      </c>
      <c r="F20" s="111">
        <v>0</v>
      </c>
      <c r="G20" s="32">
        <f t="shared" si="1"/>
        <v>1326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5460</v>
      </c>
      <c r="C21" s="213">
        <v>0</v>
      </c>
      <c r="D21" s="213">
        <v>0</v>
      </c>
      <c r="E21" s="32">
        <f t="shared" si="0"/>
        <v>5460</v>
      </c>
      <c r="F21" s="213">
        <v>0</v>
      </c>
      <c r="G21" s="32">
        <f t="shared" si="1"/>
        <v>1948.4</v>
      </c>
      <c r="H21" s="111">
        <v>3468</v>
      </c>
      <c r="I21" s="111">
        <v>542.01</v>
      </c>
      <c r="J21" s="32">
        <f t="shared" si="2"/>
        <v>1189.9899999999998</v>
      </c>
      <c r="K21" s="111">
        <v>43.6</v>
      </c>
      <c r="L21" s="111">
        <v>1736</v>
      </c>
      <c r="M21" s="32">
        <f t="shared" si="3"/>
        <v>1780</v>
      </c>
      <c r="N21" s="71">
        <f t="shared" si="4"/>
        <v>6.5000000000000002E-2</v>
      </c>
      <c r="O21" s="85"/>
    </row>
    <row r="22" spans="1:15">
      <c r="A22" s="71" t="s">
        <v>15</v>
      </c>
      <c r="B22" s="111">
        <v>10079</v>
      </c>
      <c r="C22" s="213">
        <v>0</v>
      </c>
      <c r="D22" s="213">
        <v>0</v>
      </c>
      <c r="E22" s="32">
        <f t="shared" si="0"/>
        <v>10079</v>
      </c>
      <c r="F22" s="213">
        <v>0</v>
      </c>
      <c r="G22" s="32">
        <f t="shared" si="1"/>
        <v>456</v>
      </c>
      <c r="H22" s="111">
        <v>9418</v>
      </c>
      <c r="I22" s="111">
        <v>1256.2</v>
      </c>
      <c r="J22" s="32">
        <f t="shared" si="2"/>
        <v>1063.2799999999997</v>
      </c>
      <c r="K22" s="111">
        <v>205</v>
      </c>
      <c r="L22" s="111">
        <v>7098.52</v>
      </c>
      <c r="M22" s="32">
        <f t="shared" si="3"/>
        <v>7304</v>
      </c>
      <c r="N22" s="71">
        <f t="shared" si="4"/>
        <v>0.26900000000000002</v>
      </c>
      <c r="O22" s="85"/>
    </row>
    <row r="23" spans="1:15">
      <c r="A23" s="71" t="s">
        <v>16</v>
      </c>
      <c r="B23" s="111">
        <v>14863</v>
      </c>
      <c r="C23" s="213">
        <v>0</v>
      </c>
      <c r="D23" s="213">
        <v>0</v>
      </c>
      <c r="E23" s="32">
        <f t="shared" si="0"/>
        <v>14863</v>
      </c>
      <c r="F23" s="213">
        <v>0</v>
      </c>
      <c r="G23" s="32">
        <f t="shared" si="1"/>
        <v>268.60000000000002</v>
      </c>
      <c r="H23" s="111">
        <v>14354</v>
      </c>
      <c r="I23" s="111">
        <v>1504.7</v>
      </c>
      <c r="J23" s="32">
        <f t="shared" si="2"/>
        <v>1074.1599999999999</v>
      </c>
      <c r="K23" s="111">
        <v>240.4</v>
      </c>
      <c r="L23" s="111">
        <v>11775.14</v>
      </c>
      <c r="M23" s="32">
        <f t="shared" si="3"/>
        <v>12016</v>
      </c>
      <c r="N23" s="71">
        <f t="shared" si="4"/>
        <v>0.442</v>
      </c>
      <c r="O23" s="85"/>
    </row>
    <row r="24" spans="1:15">
      <c r="A24" s="71" t="s">
        <v>17</v>
      </c>
      <c r="B24" s="111">
        <v>4938</v>
      </c>
      <c r="C24" s="213">
        <v>0</v>
      </c>
      <c r="D24" s="213">
        <v>0</v>
      </c>
      <c r="E24" s="32">
        <f t="shared" si="0"/>
        <v>4938</v>
      </c>
      <c r="F24" s="213">
        <v>0</v>
      </c>
      <c r="G24" s="32">
        <f t="shared" si="1"/>
        <v>572.79999999999995</v>
      </c>
      <c r="H24" s="111">
        <v>4312</v>
      </c>
      <c r="I24" s="111">
        <v>792.38</v>
      </c>
      <c r="J24" s="32">
        <f t="shared" si="2"/>
        <v>444.42000000000007</v>
      </c>
      <c r="K24" s="111">
        <v>53.2</v>
      </c>
      <c r="L24" s="111">
        <v>3075.2</v>
      </c>
      <c r="M24" s="32">
        <f t="shared" si="3"/>
        <v>3128</v>
      </c>
      <c r="N24" s="71">
        <f t="shared" si="4"/>
        <v>0.115</v>
      </c>
      <c r="O24" s="85"/>
    </row>
    <row r="25" spans="1:15">
      <c r="A25" s="71" t="s">
        <v>18</v>
      </c>
      <c r="B25" s="111">
        <v>0</v>
      </c>
      <c r="C25" s="213">
        <v>0</v>
      </c>
      <c r="D25" s="213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213">
        <v>0</v>
      </c>
      <c r="D26" s="213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213">
        <v>0</v>
      </c>
      <c r="D27" s="213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6">
        <f>SUM(B16:B27)</f>
        <v>36666</v>
      </c>
      <c r="C28" s="176">
        <f>SUM(C16:C27)</f>
        <v>0</v>
      </c>
      <c r="D28" s="176">
        <f>SUM(D16:D27)</f>
        <v>0</v>
      </c>
      <c r="E28" s="176">
        <f>SUM(E16:E27)</f>
        <v>36666</v>
      </c>
      <c r="F28" s="176">
        <f>SUM(F16:F27)</f>
        <v>0</v>
      </c>
      <c r="G28" s="176">
        <f t="shared" si="1"/>
        <v>4571.8</v>
      </c>
      <c r="H28" s="176">
        <f>SUM(H16:H27)</f>
        <v>31552</v>
      </c>
      <c r="I28" s="176">
        <f>SUM(I16:I27)</f>
        <v>4095.29</v>
      </c>
      <c r="J28" s="176">
        <f t="shared" si="2"/>
        <v>3771.8499999999985</v>
      </c>
      <c r="K28" s="176">
        <f>SUM(K16:K27)</f>
        <v>542.20000000000005</v>
      </c>
      <c r="L28" s="176">
        <f>SUM(L16:L27)</f>
        <v>23684.86</v>
      </c>
      <c r="M28" s="176">
        <f>ROUND(SUM(M16:M27),0)</f>
        <v>24228</v>
      </c>
      <c r="N28" s="199">
        <f>SUM(N16:N27)</f>
        <v>0.89100000000000001</v>
      </c>
      <c r="O28" s="85"/>
    </row>
    <row r="29" spans="1:15" ht="15.75" thickTop="1">
      <c r="A29" s="72" t="s">
        <v>22</v>
      </c>
      <c r="B29" s="88"/>
      <c r="C29" s="88"/>
      <c r="D29" s="88"/>
      <c r="E29" s="88">
        <f t="shared" ref="E29:M29" si="5">ROUND(+E28/$K$9,2)</f>
        <v>1.35</v>
      </c>
      <c r="F29" s="88">
        <f t="shared" si="5"/>
        <v>0</v>
      </c>
      <c r="G29" s="88">
        <f t="shared" si="5"/>
        <v>0.17</v>
      </c>
      <c r="H29" s="198">
        <f t="shared" si="5"/>
        <v>1.1599999999999999</v>
      </c>
      <c r="I29" s="88">
        <f t="shared" si="5"/>
        <v>0.15</v>
      </c>
      <c r="J29" s="88">
        <f t="shared" si="5"/>
        <v>0.14000000000000001</v>
      </c>
      <c r="K29" s="198">
        <f t="shared" si="5"/>
        <v>0.02</v>
      </c>
      <c r="L29" s="88">
        <f t="shared" si="5"/>
        <v>0.87</v>
      </c>
      <c r="M29" s="88">
        <f t="shared" si="5"/>
        <v>0.89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6">E28/$E$28*100</f>
        <v>100</v>
      </c>
      <c r="F30" s="71">
        <f t="shared" si="6"/>
        <v>0</v>
      </c>
      <c r="G30" s="39">
        <f t="shared" si="6"/>
        <v>12.46877215949381</v>
      </c>
      <c r="H30" s="39">
        <f t="shared" si="6"/>
        <v>86.052473681339663</v>
      </c>
      <c r="I30" s="39">
        <f t="shared" si="6"/>
        <v>11.169175803196421</v>
      </c>
      <c r="J30" s="39">
        <f t="shared" si="6"/>
        <v>10.287050673648608</v>
      </c>
      <c r="K30" s="39">
        <f t="shared" si="6"/>
        <v>1.4787541591665305</v>
      </c>
      <c r="L30" s="39">
        <f t="shared" si="6"/>
        <v>64.596247204494631</v>
      </c>
      <c r="M30" s="39">
        <f t="shared" si="6"/>
        <v>66.077565046637204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OutlineSymbols="0" zoomScale="87" zoomScaleNormal="87" workbookViewId="0">
      <selection activeCell="Q22" sqref="Q22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34" t="s">
        <v>185</v>
      </c>
      <c r="C8" s="2"/>
      <c r="D8" s="2"/>
      <c r="E8" s="134" t="s">
        <v>0</v>
      </c>
      <c r="F8" s="2"/>
      <c r="G8" s="8" t="s">
        <v>56</v>
      </c>
      <c r="H8" s="2"/>
      <c r="I8" s="2" t="s">
        <v>103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2" t="s">
        <v>0</v>
      </c>
      <c r="L9" s="11"/>
      <c r="M9" s="10" t="s">
        <v>77</v>
      </c>
      <c r="N9" s="119">
        <v>2022</v>
      </c>
    </row>
    <row r="10" spans="1:15" ht="18">
      <c r="A10" s="10" t="s">
        <v>6</v>
      </c>
      <c r="B10" s="11" t="s">
        <v>102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23" spans="1:14" ht="23.25">
      <c r="A23" s="59"/>
      <c r="B23" s="59" t="s">
        <v>191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35" spans="1:15" ht="15.75">
      <c r="A35" s="4"/>
      <c r="B35" s="3"/>
      <c r="C35" s="3"/>
      <c r="D35" s="3"/>
      <c r="E35" s="3"/>
      <c r="F35" s="3"/>
      <c r="G35" s="3"/>
      <c r="H35" s="3"/>
      <c r="I35" s="24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4"/>
    </row>
    <row r="38" spans="1:15" ht="24" customHeight="1">
      <c r="E38" s="61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I28" sqref="I28"/>
    </sheetView>
  </sheetViews>
  <sheetFormatPr defaultColWidth="9.6640625" defaultRowHeight="15"/>
  <cols>
    <col min="1" max="1" width="15.77734375" style="78" customWidth="1"/>
    <col min="2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7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 t="s">
        <v>0</v>
      </c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3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156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3">
        <v>40644.1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157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21</v>
      </c>
      <c r="C12" s="86" t="s">
        <v>29</v>
      </c>
      <c r="D12" s="86" t="s">
        <v>38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158</v>
      </c>
      <c r="C13" s="89" t="s">
        <v>30</v>
      </c>
      <c r="D13" s="89" t="s">
        <v>30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159</v>
      </c>
      <c r="C14" s="89" t="s">
        <v>155</v>
      </c>
      <c r="D14" s="89" t="s">
        <v>39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155</v>
      </c>
      <c r="C15" s="89" t="s">
        <v>161</v>
      </c>
      <c r="D15" s="89" t="s">
        <v>40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v>0</v>
      </c>
      <c r="C16" s="53">
        <f>'ks below'!B16</f>
        <v>0</v>
      </c>
      <c r="D16" s="53">
        <v>0</v>
      </c>
      <c r="E16" s="32">
        <f t="shared" ref="E16:E27" si="0">B16+C16+D16</f>
        <v>0</v>
      </c>
      <c r="F16" s="141">
        <v>0</v>
      </c>
      <c r="G16" s="32">
        <f>E16-F16-H16-K16</f>
        <v>0</v>
      </c>
      <c r="H16" s="53">
        <f>'ks abov'!H16+'ks below'!H16</f>
        <v>0</v>
      </c>
      <c r="I16" s="53">
        <f>'ks abov'!I16+'ks below'!I16</f>
        <v>0</v>
      </c>
      <c r="J16" s="32">
        <f>H16-I16-L16</f>
        <v>0</v>
      </c>
      <c r="K16" s="53">
        <f>'ks abov'!K16+'ks below'!K16</f>
        <v>0</v>
      </c>
      <c r="L16" s="53">
        <f>'ks abov'!L16+'ks below'!L16</f>
        <v>0</v>
      </c>
      <c r="M16" s="32">
        <f t="shared" ref="M16:M27" si="1">SUM(K16:L16)</f>
        <v>0</v>
      </c>
      <c r="N16" s="71">
        <f t="shared" ref="N16:N28" si="2">ROUND(+M16/$K$9,3)</f>
        <v>0</v>
      </c>
      <c r="O16" s="85"/>
    </row>
    <row r="17" spans="1:15">
      <c r="A17" s="71" t="s">
        <v>10</v>
      </c>
      <c r="B17" s="53">
        <v>0</v>
      </c>
      <c r="C17" s="53">
        <f>'ks below'!B17</f>
        <v>0</v>
      </c>
      <c r="D17" s="53">
        <v>0</v>
      </c>
      <c r="E17" s="32">
        <f t="shared" si="0"/>
        <v>0</v>
      </c>
      <c r="F17" s="141">
        <v>0</v>
      </c>
      <c r="G17" s="32">
        <f>E17-F17-H17-K17</f>
        <v>0</v>
      </c>
      <c r="H17" s="53">
        <f>'ks abov'!H17+'ks below'!H17</f>
        <v>0</v>
      </c>
      <c r="I17" s="53">
        <f>'ks abov'!I17+'ks below'!I17</f>
        <v>0</v>
      </c>
      <c r="J17" s="32">
        <f>H17-I17-L17</f>
        <v>0</v>
      </c>
      <c r="K17" s="53">
        <f>'ks abov'!K17+'ks below'!K17</f>
        <v>0</v>
      </c>
      <c r="L17" s="53">
        <f>'ks abov'!L17+'ks below'!L17</f>
        <v>0</v>
      </c>
      <c r="M17" s="32">
        <f t="shared" si="1"/>
        <v>0</v>
      </c>
      <c r="N17" s="71">
        <f t="shared" si="2"/>
        <v>0</v>
      </c>
      <c r="O17" s="85"/>
    </row>
    <row r="18" spans="1:15">
      <c r="A18" s="71" t="s">
        <v>11</v>
      </c>
      <c r="B18" s="53">
        <v>0</v>
      </c>
      <c r="C18" s="53">
        <f>'ks below'!B18</f>
        <v>0</v>
      </c>
      <c r="D18" s="53">
        <v>0</v>
      </c>
      <c r="E18" s="32">
        <f t="shared" si="0"/>
        <v>0</v>
      </c>
      <c r="F18" s="141">
        <v>0</v>
      </c>
      <c r="G18" s="32">
        <f>E18-F18-H18-K18</f>
        <v>0</v>
      </c>
      <c r="H18" s="53">
        <f>'ks abov'!H18+'ks below'!H18</f>
        <v>0</v>
      </c>
      <c r="I18" s="53">
        <f>'ks abov'!I18+'ks below'!I18</f>
        <v>0</v>
      </c>
      <c r="J18" s="32">
        <f>H18-I18-L18</f>
        <v>0</v>
      </c>
      <c r="K18" s="53">
        <f>'ks abov'!K18+'ks below'!K18</f>
        <v>0</v>
      </c>
      <c r="L18" s="53">
        <f>'ks abov'!L18+'ks below'!L18</f>
        <v>0</v>
      </c>
      <c r="M18" s="32">
        <f t="shared" si="1"/>
        <v>0</v>
      </c>
      <c r="N18" s="71">
        <f t="shared" si="2"/>
        <v>0</v>
      </c>
      <c r="O18" s="85"/>
    </row>
    <row r="19" spans="1:15">
      <c r="A19" s="71" t="s">
        <v>12</v>
      </c>
      <c r="B19" s="53">
        <f>'ks abov'!E19</f>
        <v>0</v>
      </c>
      <c r="C19" s="53">
        <f>'ks below'!B19</f>
        <v>0</v>
      </c>
      <c r="D19" s="53">
        <v>0</v>
      </c>
      <c r="E19" s="32">
        <f t="shared" si="0"/>
        <v>0</v>
      </c>
      <c r="F19" s="141">
        <v>0</v>
      </c>
      <c r="G19" s="32">
        <f>E19-F19-H19-K19</f>
        <v>0</v>
      </c>
      <c r="H19" s="53">
        <f>'ks abov'!H19+'ks below'!H19</f>
        <v>0</v>
      </c>
      <c r="I19" s="53">
        <f>'ks abov'!I19+'ks below'!I19</f>
        <v>0</v>
      </c>
      <c r="J19" s="32">
        <f>H19-I19-I15</f>
        <v>0</v>
      </c>
      <c r="K19" s="53">
        <f>'ks abov'!K19+'ks below'!K19</f>
        <v>0</v>
      </c>
      <c r="L19" s="53">
        <f>'ks abov'!L19+'ks below'!L19</f>
        <v>0</v>
      </c>
      <c r="M19" s="32">
        <f t="shared" si="1"/>
        <v>0</v>
      </c>
      <c r="N19" s="71">
        <f t="shared" si="2"/>
        <v>0</v>
      </c>
      <c r="O19" s="85"/>
    </row>
    <row r="20" spans="1:15">
      <c r="A20" s="71" t="s">
        <v>13</v>
      </c>
      <c r="B20" s="53">
        <f>'ks abov'!E20</f>
        <v>0</v>
      </c>
      <c r="C20" s="53">
        <f>'ks below'!B20</f>
        <v>1326</v>
      </c>
      <c r="D20" s="53">
        <v>0</v>
      </c>
      <c r="E20" s="32">
        <f t="shared" si="0"/>
        <v>1326</v>
      </c>
      <c r="F20" s="141">
        <v>0</v>
      </c>
      <c r="G20" s="32">
        <f t="shared" ref="G20:G27" si="3">E20-F20-H20-K20</f>
        <v>1326</v>
      </c>
      <c r="H20" s="53">
        <f>'ks abov'!H20+'ks below'!H20</f>
        <v>0</v>
      </c>
      <c r="I20" s="53">
        <f>'ks abov'!I20+'ks below'!I20</f>
        <v>0</v>
      </c>
      <c r="J20" s="32">
        <f t="shared" ref="J20:J28" si="4">H20-I20-L20</f>
        <v>0</v>
      </c>
      <c r="K20" s="53">
        <f>'ks abov'!K20+'ks below'!K20</f>
        <v>0</v>
      </c>
      <c r="L20" s="53">
        <f>'ks abov'!L20+'ks below'!L20</f>
        <v>0</v>
      </c>
      <c r="M20" s="32">
        <f t="shared" si="1"/>
        <v>0</v>
      </c>
      <c r="N20" s="71">
        <f t="shared" si="2"/>
        <v>0</v>
      </c>
      <c r="O20" s="85"/>
    </row>
    <row r="21" spans="1:15">
      <c r="A21" s="71" t="s">
        <v>14</v>
      </c>
      <c r="B21" s="53">
        <f>'ks abov'!E21</f>
        <v>5180.6000000000004</v>
      </c>
      <c r="C21" s="53">
        <f>'ks below'!B21</f>
        <v>5460</v>
      </c>
      <c r="D21" s="53">
        <v>0</v>
      </c>
      <c r="E21" s="32">
        <f t="shared" si="0"/>
        <v>10640.6</v>
      </c>
      <c r="F21" s="141">
        <v>0</v>
      </c>
      <c r="G21" s="32">
        <f t="shared" si="3"/>
        <v>5142.4000000000005</v>
      </c>
      <c r="H21" s="53">
        <f>'ks abov'!H21+'ks below'!H21</f>
        <v>5034.2</v>
      </c>
      <c r="I21" s="53">
        <f>'ks abov'!I21+'ks below'!I21</f>
        <v>838.91</v>
      </c>
      <c r="J21" s="32">
        <f t="shared" si="4"/>
        <v>1861.69</v>
      </c>
      <c r="K21" s="53">
        <f>'ks abov'!K21+'ks below'!K21</f>
        <v>464</v>
      </c>
      <c r="L21" s="53">
        <f>'ks abov'!L21+'ks below'!L21</f>
        <v>2333.6</v>
      </c>
      <c r="M21" s="32">
        <f t="shared" si="1"/>
        <v>2797.6</v>
      </c>
      <c r="N21" s="71">
        <f t="shared" si="2"/>
        <v>6.9000000000000006E-2</v>
      </c>
      <c r="O21" s="85"/>
    </row>
    <row r="22" spans="1:15">
      <c r="A22" s="71" t="s">
        <v>15</v>
      </c>
      <c r="B22" s="53">
        <f>'ks abov'!E22</f>
        <v>6174.7999999999993</v>
      </c>
      <c r="C22" s="53">
        <f>'ks below'!B22</f>
        <v>10079</v>
      </c>
      <c r="D22" s="53">
        <v>0</v>
      </c>
      <c r="E22" s="32">
        <f t="shared" si="0"/>
        <v>16253.8</v>
      </c>
      <c r="F22" s="141">
        <v>0</v>
      </c>
      <c r="G22" s="32">
        <f t="shared" si="3"/>
        <v>3267.9999999999986</v>
      </c>
      <c r="H22" s="53">
        <f>'ks abov'!H22+'ks below'!H22</f>
        <v>11700.2</v>
      </c>
      <c r="I22" s="53">
        <f>'ks abov'!I22+'ks below'!I22</f>
        <v>1624.54</v>
      </c>
      <c r="J22" s="32">
        <f t="shared" si="4"/>
        <v>1650.7399999999998</v>
      </c>
      <c r="K22" s="53">
        <f>'ks abov'!K22+'ks below'!K22</f>
        <v>1285.5999999999999</v>
      </c>
      <c r="L22" s="53">
        <f>'ks abov'!L22+'ks below'!L22</f>
        <v>8424.92</v>
      </c>
      <c r="M22" s="32">
        <f t="shared" si="1"/>
        <v>9710.52</v>
      </c>
      <c r="N22" s="71">
        <f t="shared" si="2"/>
        <v>0.23899999999999999</v>
      </c>
      <c r="O22" s="85"/>
    </row>
    <row r="23" spans="1:15">
      <c r="A23" s="71" t="s">
        <v>16</v>
      </c>
      <c r="B23" s="53">
        <f>'ks abov'!E23</f>
        <v>8996.4</v>
      </c>
      <c r="C23" s="53">
        <f>'ks below'!B23</f>
        <v>14863</v>
      </c>
      <c r="D23" s="53">
        <v>0</v>
      </c>
      <c r="E23" s="32">
        <f t="shared" si="0"/>
        <v>23859.4</v>
      </c>
      <c r="F23" s="141">
        <v>0</v>
      </c>
      <c r="G23" s="32">
        <f t="shared" si="3"/>
        <v>2212.6000000000008</v>
      </c>
      <c r="H23" s="53">
        <f>'ks abov'!H23+'ks below'!H23</f>
        <v>18934.2</v>
      </c>
      <c r="I23" s="53">
        <f>'ks abov'!I23+'ks below'!I23</f>
        <v>2041.24</v>
      </c>
      <c r="J23" s="32">
        <f t="shared" si="4"/>
        <v>1926.619999999999</v>
      </c>
      <c r="K23" s="53">
        <f>'ks abov'!K23+'ks below'!K23</f>
        <v>2712.6</v>
      </c>
      <c r="L23" s="53">
        <f>'ks abov'!L23+'ks below'!L23</f>
        <v>14966.34</v>
      </c>
      <c r="M23" s="32">
        <f t="shared" si="1"/>
        <v>17678.939999999999</v>
      </c>
      <c r="N23" s="71">
        <f t="shared" si="2"/>
        <v>0.435</v>
      </c>
      <c r="O23" s="85"/>
    </row>
    <row r="24" spans="1:15">
      <c r="A24" s="71" t="s">
        <v>17</v>
      </c>
      <c r="B24" s="53">
        <f>'ks abov'!E24</f>
        <v>2315.1999999999998</v>
      </c>
      <c r="C24" s="53">
        <f>'ks below'!B24</f>
        <v>4938</v>
      </c>
      <c r="D24" s="53">
        <v>0</v>
      </c>
      <c r="E24" s="32">
        <f t="shared" si="0"/>
        <v>7253.2</v>
      </c>
      <c r="F24" s="141">
        <v>0</v>
      </c>
      <c r="G24" s="32">
        <f t="shared" si="3"/>
        <v>797.79999999999973</v>
      </c>
      <c r="H24" s="53">
        <f>'ks abov'!H24+'ks below'!H24</f>
        <v>5448</v>
      </c>
      <c r="I24" s="53">
        <f>'ks abov'!I24+'ks below'!I24</f>
        <v>1043.5</v>
      </c>
      <c r="J24" s="32">
        <f t="shared" si="4"/>
        <v>646.90000000000009</v>
      </c>
      <c r="K24" s="53">
        <f>'ks abov'!K24+'ks below'!K24</f>
        <v>1007.4000000000001</v>
      </c>
      <c r="L24" s="53">
        <f>'ks abov'!L24+'ks below'!L24</f>
        <v>3757.6</v>
      </c>
      <c r="M24" s="32">
        <f t="shared" si="1"/>
        <v>4765</v>
      </c>
      <c r="N24" s="71">
        <f t="shared" si="2"/>
        <v>0.11700000000000001</v>
      </c>
      <c r="O24" s="85"/>
    </row>
    <row r="25" spans="1:15">
      <c r="A25" s="71" t="s">
        <v>18</v>
      </c>
      <c r="B25" s="53">
        <f>'ks abov'!E25</f>
        <v>0</v>
      </c>
      <c r="C25" s="53">
        <f>'ks below'!B25</f>
        <v>0</v>
      </c>
      <c r="D25" s="53">
        <v>0</v>
      </c>
      <c r="E25" s="32">
        <f t="shared" si="0"/>
        <v>0</v>
      </c>
      <c r="F25" s="141">
        <v>0</v>
      </c>
      <c r="G25" s="32">
        <f t="shared" si="3"/>
        <v>0</v>
      </c>
      <c r="H25" s="53">
        <f>'ks abov'!H25+'ks below'!H25</f>
        <v>0</v>
      </c>
      <c r="I25" s="53">
        <f>'ks abov'!I25+'ks below'!I25</f>
        <v>0</v>
      </c>
      <c r="J25" s="32">
        <f t="shared" si="4"/>
        <v>0</v>
      </c>
      <c r="K25" s="53">
        <f>'ks abov'!K25+'ks below'!K25</f>
        <v>0</v>
      </c>
      <c r="L25" s="53">
        <f>'ks abov'!L25+'ks below'!L25</f>
        <v>0</v>
      </c>
      <c r="M25" s="32">
        <f t="shared" si="1"/>
        <v>0</v>
      </c>
      <c r="N25" s="71">
        <f t="shared" si="2"/>
        <v>0</v>
      </c>
      <c r="O25" s="85"/>
    </row>
    <row r="26" spans="1:15">
      <c r="A26" s="71" t="s">
        <v>19</v>
      </c>
      <c r="B26" s="53">
        <f>'ks abov'!E26</f>
        <v>0</v>
      </c>
      <c r="C26" s="53">
        <f>'ks below'!B26</f>
        <v>0</v>
      </c>
      <c r="D26" s="53">
        <v>0</v>
      </c>
      <c r="E26" s="32">
        <f t="shared" si="0"/>
        <v>0</v>
      </c>
      <c r="F26" s="141">
        <v>0</v>
      </c>
      <c r="G26" s="32">
        <f t="shared" si="3"/>
        <v>0</v>
      </c>
      <c r="H26" s="53">
        <f>'ks abov'!H26+'ks below'!H26</f>
        <v>0</v>
      </c>
      <c r="I26" s="53">
        <f>'ks abov'!I26+'ks below'!I26</f>
        <v>0</v>
      </c>
      <c r="J26" s="32">
        <f t="shared" si="4"/>
        <v>0</v>
      </c>
      <c r="K26" s="53">
        <f>'ks abov'!K26+'ks below'!K26</f>
        <v>0</v>
      </c>
      <c r="L26" s="53">
        <f>'ks abov'!L26+'ks below'!L26</f>
        <v>0</v>
      </c>
      <c r="M26" s="32">
        <f t="shared" si="1"/>
        <v>0</v>
      </c>
      <c r="N26" s="71">
        <f t="shared" si="2"/>
        <v>0</v>
      </c>
      <c r="O26" s="85"/>
    </row>
    <row r="27" spans="1:15">
      <c r="A27" s="71" t="s">
        <v>20</v>
      </c>
      <c r="B27" s="53">
        <f>'ks abov'!E27</f>
        <v>0</v>
      </c>
      <c r="C27" s="53">
        <f>'ks below'!B27</f>
        <v>0</v>
      </c>
      <c r="D27" s="53">
        <v>0</v>
      </c>
      <c r="E27" s="32">
        <f t="shared" si="0"/>
        <v>0</v>
      </c>
      <c r="F27" s="141">
        <v>0</v>
      </c>
      <c r="G27" s="32">
        <f t="shared" si="3"/>
        <v>0</v>
      </c>
      <c r="H27" s="53">
        <f>'ks abov'!H27+'ks below'!H27</f>
        <v>0</v>
      </c>
      <c r="I27" s="53">
        <f>'ks abov'!I27+'ks below'!I27</f>
        <v>0</v>
      </c>
      <c r="J27" s="32">
        <f t="shared" si="4"/>
        <v>0</v>
      </c>
      <c r="K27" s="53">
        <f>'ks abov'!K27+'ks below'!K27</f>
        <v>0</v>
      </c>
      <c r="L27" s="53">
        <f>'ks abov'!L27+'ks below'!L27</f>
        <v>0</v>
      </c>
      <c r="M27" s="32">
        <f t="shared" si="1"/>
        <v>0</v>
      </c>
      <c r="N27" s="71">
        <f t="shared" si="2"/>
        <v>0</v>
      </c>
      <c r="O27" s="85"/>
    </row>
    <row r="28" spans="1:15" ht="15.75" thickBot="1">
      <c r="A28" s="71" t="s">
        <v>21</v>
      </c>
      <c r="B28" s="32">
        <f t="shared" ref="B28:I28" si="5">SUM(B16:B27)</f>
        <v>22667</v>
      </c>
      <c r="C28" s="32">
        <f t="shared" si="5"/>
        <v>36666</v>
      </c>
      <c r="D28" s="32">
        <f t="shared" si="5"/>
        <v>0</v>
      </c>
      <c r="E28" s="32">
        <f t="shared" si="5"/>
        <v>59333</v>
      </c>
      <c r="F28" s="32">
        <f t="shared" si="5"/>
        <v>0</v>
      </c>
      <c r="G28" s="32">
        <f t="shared" si="5"/>
        <v>12746.8</v>
      </c>
      <c r="H28" s="32">
        <f t="shared" si="5"/>
        <v>41116.600000000006</v>
      </c>
      <c r="I28" s="32">
        <f t="shared" si="5"/>
        <v>5548.19</v>
      </c>
      <c r="J28" s="32">
        <f t="shared" si="4"/>
        <v>6085.9500000000044</v>
      </c>
      <c r="K28" s="32">
        <f>SUM(K16:K27)</f>
        <v>5469.6</v>
      </c>
      <c r="L28" s="32">
        <f>SUM(L16:L27)</f>
        <v>29482.46</v>
      </c>
      <c r="M28" s="32">
        <f>SUM(M16:M27)</f>
        <v>34952.06</v>
      </c>
      <c r="N28" s="112">
        <f t="shared" si="2"/>
        <v>0.86</v>
      </c>
      <c r="O28" s="85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1.46</v>
      </c>
      <c r="F29" s="72">
        <f t="shared" si="6"/>
        <v>0</v>
      </c>
      <c r="G29" s="72">
        <f t="shared" si="6"/>
        <v>0.31</v>
      </c>
      <c r="H29" s="36">
        <f t="shared" si="6"/>
        <v>1.01</v>
      </c>
      <c r="I29" s="72">
        <f t="shared" si="6"/>
        <v>0.14000000000000001</v>
      </c>
      <c r="J29" s="72">
        <f t="shared" si="6"/>
        <v>0.15</v>
      </c>
      <c r="K29" s="72">
        <f t="shared" si="6"/>
        <v>0.13</v>
      </c>
      <c r="L29" s="72">
        <f t="shared" si="6"/>
        <v>0.73</v>
      </c>
      <c r="M29" s="72">
        <f t="shared" si="6"/>
        <v>0.86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7">ROUND(+E28/$E$28*100,1)</f>
        <v>100</v>
      </c>
      <c r="F30" s="71">
        <f t="shared" si="7"/>
        <v>0</v>
      </c>
      <c r="G30" s="71">
        <f t="shared" si="7"/>
        <v>21.5</v>
      </c>
      <c r="H30" s="71">
        <f t="shared" si="7"/>
        <v>69.3</v>
      </c>
      <c r="I30" s="71">
        <f t="shared" si="7"/>
        <v>9.4</v>
      </c>
      <c r="J30" s="71">
        <f t="shared" si="7"/>
        <v>10.3</v>
      </c>
      <c r="K30" s="71">
        <f t="shared" si="7"/>
        <v>9.1999999999999993</v>
      </c>
      <c r="L30" s="71">
        <f t="shared" si="7"/>
        <v>49.7</v>
      </c>
      <c r="M30" s="71">
        <f t="shared" si="7"/>
        <v>58.9</v>
      </c>
      <c r="N30" s="71"/>
      <c r="O30" s="85"/>
    </row>
    <row r="31" spans="1:15">
      <c r="A31" s="87" t="s">
        <v>24</v>
      </c>
      <c r="B31" s="87" t="s">
        <v>160</v>
      </c>
      <c r="C31" s="73"/>
      <c r="D31" s="73"/>
      <c r="E31" s="73"/>
      <c r="F31" s="73"/>
      <c r="G31" s="73"/>
      <c r="H31" s="73"/>
      <c r="I31" s="87" t="s">
        <v>66</v>
      </c>
      <c r="J31" s="73"/>
      <c r="K31" s="73"/>
      <c r="L31" s="73"/>
      <c r="M31" s="73"/>
      <c r="N31" s="73"/>
    </row>
    <row r="32" spans="1:15">
      <c r="A32" s="75"/>
      <c r="B32" s="75" t="s">
        <v>147</v>
      </c>
      <c r="C32" s="74"/>
      <c r="D32" s="74"/>
      <c r="E32" s="74"/>
      <c r="F32" s="74"/>
      <c r="G32" s="74"/>
      <c r="H32" s="74"/>
      <c r="I32" s="75" t="s">
        <v>67</v>
      </c>
      <c r="J32" s="74"/>
      <c r="K32" s="74"/>
      <c r="L32" s="74"/>
      <c r="M32" s="74"/>
      <c r="N32" s="74"/>
    </row>
    <row r="33" spans="1:15">
      <c r="A33" s="75"/>
      <c r="B33" s="75" t="s">
        <v>35</v>
      </c>
      <c r="C33" s="74"/>
      <c r="D33" s="74"/>
      <c r="E33" s="74"/>
      <c r="F33" s="74"/>
      <c r="G33" s="74"/>
      <c r="H33" s="74"/>
      <c r="I33" s="75" t="s">
        <v>68</v>
      </c>
      <c r="J33" s="74"/>
      <c r="K33" s="74"/>
      <c r="L33" s="74"/>
      <c r="M33" s="74"/>
      <c r="N33" s="74"/>
    </row>
    <row r="34" spans="1:15">
      <c r="A34" s="75"/>
      <c r="B34" s="75" t="s">
        <v>36</v>
      </c>
      <c r="C34" s="74"/>
      <c r="D34" s="74"/>
      <c r="E34" s="74"/>
      <c r="F34" s="74"/>
      <c r="G34" s="74"/>
      <c r="H34" s="74"/>
      <c r="I34" s="75" t="s">
        <v>69</v>
      </c>
      <c r="J34" s="74"/>
      <c r="K34" s="74"/>
      <c r="L34" s="74"/>
      <c r="M34" s="74"/>
      <c r="N34" s="74"/>
    </row>
    <row r="35" spans="1:15">
      <c r="A35" s="75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7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39" spans="1:15">
      <c r="E39" s="77"/>
      <c r="J39" s="77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zoomScale="87" zoomScaleNormal="87" workbookViewId="0">
      <selection activeCell="G38" sqref="G38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13" width="7.6640625" style="1" customWidth="1"/>
    <col min="14" max="14" width="8.6640625" style="1" customWidth="1"/>
    <col min="15" max="15" width="4.77734375" style="1" customWidth="1"/>
    <col min="16" max="16384" width="9.66406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8">
      <c r="A8" s="8" t="s">
        <v>56</v>
      </c>
      <c r="B8" s="3"/>
      <c r="C8" s="3" t="s">
        <v>131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8">
      <c r="A9" s="10" t="s">
        <v>5</v>
      </c>
      <c r="B9" s="62" t="s">
        <v>26</v>
      </c>
      <c r="C9" s="62"/>
      <c r="D9" s="62"/>
      <c r="E9" s="62"/>
      <c r="F9" s="62"/>
      <c r="G9" s="10" t="s">
        <v>57</v>
      </c>
      <c r="H9" s="62"/>
      <c r="I9" s="62"/>
      <c r="J9" s="62"/>
      <c r="K9" s="218">
        <v>6298</v>
      </c>
      <c r="L9" s="62"/>
      <c r="M9" s="10" t="s">
        <v>77</v>
      </c>
      <c r="N9" s="119">
        <v>2022</v>
      </c>
      <c r="O9" s="7"/>
    </row>
    <row r="10" spans="1:15" ht="18">
      <c r="A10" s="10" t="s">
        <v>6</v>
      </c>
      <c r="B10" s="62" t="s">
        <v>122</v>
      </c>
      <c r="C10" s="62"/>
      <c r="D10" s="62"/>
      <c r="E10" s="62"/>
      <c r="F10" s="62"/>
      <c r="G10" s="10" t="s">
        <v>58</v>
      </c>
      <c r="H10" s="62"/>
      <c r="I10" s="62"/>
      <c r="J10" s="62"/>
      <c r="K10" s="62"/>
      <c r="L10" s="62"/>
      <c r="M10" s="62"/>
      <c r="N10" s="62"/>
      <c r="O10" s="7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63"/>
    </row>
    <row r="12" spans="1:15">
      <c r="A12" s="18"/>
      <c r="B12" s="18" t="s">
        <v>29</v>
      </c>
      <c r="C12" s="18" t="s">
        <v>29</v>
      </c>
      <c r="D12" s="18" t="s">
        <v>43</v>
      </c>
      <c r="E12" s="18" t="s">
        <v>21</v>
      </c>
      <c r="F12" s="18"/>
      <c r="G12" s="18"/>
      <c r="H12" s="18"/>
      <c r="I12" s="18"/>
      <c r="J12" s="18"/>
      <c r="K12" s="18"/>
      <c r="L12" s="19"/>
      <c r="M12" s="19"/>
      <c r="N12" s="18"/>
      <c r="O12" s="63"/>
    </row>
    <row r="13" spans="1:15">
      <c r="A13" s="22"/>
      <c r="B13" s="23" t="s">
        <v>30</v>
      </c>
      <c r="C13" s="23" t="s">
        <v>124</v>
      </c>
      <c r="D13" s="23" t="s">
        <v>44</v>
      </c>
      <c r="E13" s="23" t="s">
        <v>48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63"/>
    </row>
    <row r="14" spans="1:15">
      <c r="A14" s="23" t="s">
        <v>8</v>
      </c>
      <c r="B14" s="23" t="s">
        <v>32</v>
      </c>
      <c r="C14" s="23" t="s">
        <v>125</v>
      </c>
      <c r="D14" s="23" t="s">
        <v>45</v>
      </c>
      <c r="E14" s="23" t="s">
        <v>30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132</v>
      </c>
      <c r="L14" s="27" t="s">
        <v>134</v>
      </c>
      <c r="M14" s="66"/>
      <c r="N14" s="23" t="s">
        <v>80</v>
      </c>
      <c r="O14" s="63"/>
    </row>
    <row r="15" spans="1:15">
      <c r="A15" s="23"/>
      <c r="B15" s="23" t="s">
        <v>123</v>
      </c>
      <c r="C15" s="23" t="s">
        <v>126</v>
      </c>
      <c r="D15" s="23" t="s">
        <v>32</v>
      </c>
      <c r="E15" s="23" t="s">
        <v>32</v>
      </c>
      <c r="F15" s="23" t="s">
        <v>55</v>
      </c>
      <c r="G15" s="23" t="s">
        <v>60</v>
      </c>
      <c r="H15" s="23" t="s">
        <v>127</v>
      </c>
      <c r="I15" s="22"/>
      <c r="J15" s="23"/>
      <c r="K15" s="23" t="s">
        <v>133</v>
      </c>
      <c r="L15" s="23" t="s">
        <v>133</v>
      </c>
      <c r="M15" s="23" t="s">
        <v>21</v>
      </c>
      <c r="N15" s="23" t="s">
        <v>135</v>
      </c>
      <c r="O15" s="63"/>
    </row>
    <row r="16" spans="1:15">
      <c r="A16" s="30" t="s">
        <v>9</v>
      </c>
      <c r="B16" s="110">
        <v>0</v>
      </c>
      <c r="C16" s="110">
        <f t="shared" ref="C16:C27" si="0">ROUND(L16/0.43+K16/0.48,0)</f>
        <v>0</v>
      </c>
      <c r="D16" s="110">
        <v>0</v>
      </c>
      <c r="E16" s="67">
        <f t="shared" ref="E16:E27" si="1">B16+C16-D16</f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110">
        <v>0</v>
      </c>
      <c r="L16" s="110">
        <v>0</v>
      </c>
      <c r="M16" s="32">
        <f t="shared" ref="M16:M27" si="2">SUM(K16:L16)</f>
        <v>0</v>
      </c>
      <c r="N16" s="30">
        <f>ROUND(+M16/$K$9,3)</f>
        <v>0</v>
      </c>
      <c r="O16" s="63"/>
    </row>
    <row r="17" spans="1:19">
      <c r="A17" s="30" t="s">
        <v>10</v>
      </c>
      <c r="B17" s="110">
        <v>0</v>
      </c>
      <c r="C17" s="110">
        <f t="shared" si="0"/>
        <v>0</v>
      </c>
      <c r="D17" s="110">
        <v>0</v>
      </c>
      <c r="E17" s="67">
        <f t="shared" si="1"/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110">
        <v>0</v>
      </c>
      <c r="L17" s="110">
        <v>0</v>
      </c>
      <c r="M17" s="32">
        <f t="shared" si="2"/>
        <v>0</v>
      </c>
      <c r="N17" s="30">
        <f>ROUND(+M17/$K$9,3)</f>
        <v>0</v>
      </c>
      <c r="O17" s="63"/>
    </row>
    <row r="18" spans="1:19">
      <c r="A18" s="30" t="s">
        <v>11</v>
      </c>
      <c r="B18" s="110">
        <v>0</v>
      </c>
      <c r="C18" s="110">
        <f t="shared" si="0"/>
        <v>0</v>
      </c>
      <c r="D18" s="110">
        <v>0</v>
      </c>
      <c r="E18" s="67">
        <f t="shared" si="1"/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10">
        <v>0</v>
      </c>
      <c r="L18" s="110">
        <v>0</v>
      </c>
      <c r="M18" s="32">
        <f t="shared" si="2"/>
        <v>0</v>
      </c>
      <c r="N18" s="30">
        <f>ROUND(+M18/$K$9,3)</f>
        <v>0</v>
      </c>
      <c r="O18" s="63"/>
    </row>
    <row r="19" spans="1:19">
      <c r="A19" s="30" t="s">
        <v>12</v>
      </c>
      <c r="B19" s="110">
        <v>0</v>
      </c>
      <c r="C19" s="110">
        <f t="shared" si="0"/>
        <v>0</v>
      </c>
      <c r="D19" s="110">
        <v>0</v>
      </c>
      <c r="E19" s="67">
        <f t="shared" si="1"/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110">
        <v>0</v>
      </c>
      <c r="L19" s="110">
        <v>0</v>
      </c>
      <c r="M19" s="32">
        <f t="shared" si="2"/>
        <v>0</v>
      </c>
      <c r="N19" s="30">
        <f t="shared" ref="N19:N27" si="3">ROUND(+M19/$K$9,3)</f>
        <v>0</v>
      </c>
      <c r="O19" s="63"/>
    </row>
    <row r="20" spans="1:19">
      <c r="A20" s="30" t="s">
        <v>13</v>
      </c>
      <c r="B20" s="110">
        <v>0</v>
      </c>
      <c r="C20" s="110">
        <f t="shared" si="0"/>
        <v>0</v>
      </c>
      <c r="D20" s="110">
        <v>0</v>
      </c>
      <c r="E20" s="67">
        <f t="shared" si="1"/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110">
        <v>0</v>
      </c>
      <c r="L20" s="110">
        <v>0</v>
      </c>
      <c r="M20" s="32">
        <f t="shared" si="2"/>
        <v>0</v>
      </c>
      <c r="N20" s="30">
        <f t="shared" si="3"/>
        <v>0</v>
      </c>
      <c r="O20" s="63"/>
    </row>
    <row r="21" spans="1:19">
      <c r="A21" s="30" t="s">
        <v>14</v>
      </c>
      <c r="B21" s="110">
        <v>0</v>
      </c>
      <c r="C21" s="110">
        <f>ROUND(L21/0.43+K21/0.48,0)</f>
        <v>687</v>
      </c>
      <c r="D21" s="110">
        <v>0</v>
      </c>
      <c r="E21" s="67">
        <f t="shared" si="1"/>
        <v>687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10">
        <v>0</v>
      </c>
      <c r="L21" s="110">
        <v>295.32</v>
      </c>
      <c r="M21" s="32">
        <f t="shared" si="2"/>
        <v>295.32</v>
      </c>
      <c r="N21" s="30">
        <f t="shared" si="3"/>
        <v>4.7E-2</v>
      </c>
      <c r="O21" s="63"/>
      <c r="S21" s="1">
        <v>192.4</v>
      </c>
    </row>
    <row r="22" spans="1:19">
      <c r="A22" s="30" t="s">
        <v>15</v>
      </c>
      <c r="B22" s="110">
        <v>0</v>
      </c>
      <c r="C22" s="110">
        <f t="shared" si="0"/>
        <v>2726</v>
      </c>
      <c r="D22" s="110">
        <v>0</v>
      </c>
      <c r="E22" s="67">
        <f t="shared" si="1"/>
        <v>2726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110">
        <v>20.7</v>
      </c>
      <c r="L22" s="110">
        <v>1153.48</v>
      </c>
      <c r="M22" s="32">
        <f t="shared" si="2"/>
        <v>1174.18</v>
      </c>
      <c r="N22" s="30">
        <f t="shared" si="3"/>
        <v>0.186</v>
      </c>
      <c r="O22" s="63"/>
      <c r="S22" s="1">
        <v>273.95999999999998</v>
      </c>
    </row>
    <row r="23" spans="1:19">
      <c r="A23" s="30" t="s">
        <v>16</v>
      </c>
      <c r="B23" s="110">
        <v>0</v>
      </c>
      <c r="C23" s="110">
        <f t="shared" si="0"/>
        <v>3821</v>
      </c>
      <c r="D23" s="110">
        <v>0</v>
      </c>
      <c r="E23" s="67">
        <f t="shared" si="1"/>
        <v>3821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110">
        <v>151.08000000000001</v>
      </c>
      <c r="L23" s="110">
        <v>1507.56</v>
      </c>
      <c r="M23" s="32">
        <f t="shared" si="2"/>
        <v>1658.6399999999999</v>
      </c>
      <c r="N23" s="30">
        <f t="shared" si="3"/>
        <v>0.26300000000000001</v>
      </c>
      <c r="O23" s="63"/>
      <c r="S23" s="1">
        <v>252.04</v>
      </c>
    </row>
    <row r="24" spans="1:19">
      <c r="A24" s="30" t="s">
        <v>17</v>
      </c>
      <c r="B24" s="110">
        <v>0</v>
      </c>
      <c r="C24" s="110">
        <f t="shared" si="0"/>
        <v>2985</v>
      </c>
      <c r="D24" s="110">
        <v>0</v>
      </c>
      <c r="E24" s="67">
        <f t="shared" si="1"/>
        <v>2985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110">
        <v>259.20999999999998</v>
      </c>
      <c r="L24" s="110">
        <v>1051.3599999999999</v>
      </c>
      <c r="M24" s="32">
        <f t="shared" si="2"/>
        <v>1310.57</v>
      </c>
      <c r="N24" s="30">
        <f t="shared" si="3"/>
        <v>0.20799999999999999</v>
      </c>
      <c r="O24" s="63"/>
      <c r="S24" s="1">
        <v>261.33999999999997</v>
      </c>
    </row>
    <row r="25" spans="1:19">
      <c r="A25" s="30" t="s">
        <v>18</v>
      </c>
      <c r="B25" s="110">
        <v>0</v>
      </c>
      <c r="C25" s="110">
        <f t="shared" si="0"/>
        <v>537</v>
      </c>
      <c r="D25" s="110">
        <v>0</v>
      </c>
      <c r="E25" s="67">
        <f t="shared" si="1"/>
        <v>537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110">
        <v>129.13999999999999</v>
      </c>
      <c r="L25" s="110">
        <v>115.31</v>
      </c>
      <c r="M25" s="32">
        <f t="shared" si="2"/>
        <v>244.45</v>
      </c>
      <c r="N25" s="30">
        <f t="shared" si="3"/>
        <v>3.9E-2</v>
      </c>
      <c r="O25" s="63"/>
      <c r="R25" s="1">
        <v>12.38</v>
      </c>
      <c r="S25" s="1">
        <v>193.02</v>
      </c>
    </row>
    <row r="26" spans="1:19">
      <c r="A26" s="30" t="s">
        <v>19</v>
      </c>
      <c r="B26" s="110">
        <v>0</v>
      </c>
      <c r="C26" s="110">
        <f t="shared" si="0"/>
        <v>201</v>
      </c>
      <c r="D26" s="110">
        <v>0</v>
      </c>
      <c r="E26" s="67">
        <f t="shared" si="1"/>
        <v>201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110">
        <v>17.149999999999999</v>
      </c>
      <c r="L26" s="110">
        <v>71</v>
      </c>
      <c r="M26" s="32">
        <f t="shared" si="2"/>
        <v>88.15</v>
      </c>
      <c r="N26" s="30">
        <f t="shared" si="3"/>
        <v>1.4E-2</v>
      </c>
      <c r="O26" s="63"/>
      <c r="S26" s="1">
        <v>22.98</v>
      </c>
    </row>
    <row r="27" spans="1:19">
      <c r="A27" s="30" t="s">
        <v>20</v>
      </c>
      <c r="B27" s="110">
        <v>0</v>
      </c>
      <c r="C27" s="110">
        <f t="shared" si="0"/>
        <v>0</v>
      </c>
      <c r="D27" s="110">
        <v>0</v>
      </c>
      <c r="E27" s="67">
        <f t="shared" si="1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110">
        <v>0</v>
      </c>
      <c r="L27" s="110">
        <v>0</v>
      </c>
      <c r="M27" s="32">
        <f t="shared" si="2"/>
        <v>0</v>
      </c>
      <c r="N27" s="30">
        <f t="shared" si="3"/>
        <v>0</v>
      </c>
      <c r="O27" s="63"/>
    </row>
    <row r="28" spans="1:19" ht="15.75" thickBot="1">
      <c r="A28" s="30" t="s">
        <v>21</v>
      </c>
      <c r="B28" s="140">
        <v>0</v>
      </c>
      <c r="C28" s="32">
        <f>SUM(C16:C27)</f>
        <v>10957</v>
      </c>
      <c r="D28" s="32">
        <f>SUM(D16:D27)</f>
        <v>0</v>
      </c>
      <c r="E28" s="32">
        <f>SUM(E16:E27)</f>
        <v>10957</v>
      </c>
      <c r="F28" s="32">
        <f t="shared" ref="F28:J28" si="4">SUM(F16:F27)</f>
        <v>0</v>
      </c>
      <c r="G28" s="32">
        <f t="shared" si="4"/>
        <v>0</v>
      </c>
      <c r="H28" s="32">
        <f t="shared" si="4"/>
        <v>0</v>
      </c>
      <c r="I28" s="32">
        <f t="shared" si="4"/>
        <v>0</v>
      </c>
      <c r="J28" s="32">
        <f t="shared" si="4"/>
        <v>0</v>
      </c>
      <c r="K28" s="32">
        <f>SUM(K16:K27)</f>
        <v>577.28</v>
      </c>
      <c r="L28" s="32">
        <f>SUM(L16:L27)</f>
        <v>4194.03</v>
      </c>
      <c r="M28" s="32">
        <f>SUM(M16:M27)</f>
        <v>4771.3099999999995</v>
      </c>
      <c r="N28" s="107">
        <f>SUM(N16:N27)</f>
        <v>0.75700000000000001</v>
      </c>
      <c r="O28" s="63"/>
    </row>
    <row r="29" spans="1:19" ht="15.75" thickTop="1">
      <c r="A29" s="15" t="s">
        <v>121</v>
      </c>
      <c r="B29" s="15"/>
      <c r="C29" s="15"/>
      <c r="D29" s="15"/>
      <c r="E29" s="68"/>
      <c r="F29" s="36"/>
      <c r="G29" s="36"/>
      <c r="H29" s="36"/>
      <c r="I29" s="36"/>
      <c r="J29" s="36"/>
      <c r="K29" s="36">
        <f>M29-L29</f>
        <v>8.9999999999999969E-2</v>
      </c>
      <c r="L29" s="36">
        <f>ROUND(L28/$K$9,2)</f>
        <v>0.67</v>
      </c>
      <c r="M29" s="36">
        <f>ROUND(M28/$K$9,2)</f>
        <v>0.76</v>
      </c>
      <c r="N29" s="22"/>
      <c r="O29" s="63"/>
    </row>
    <row r="30" spans="1:19">
      <c r="A30" s="30" t="s">
        <v>23</v>
      </c>
      <c r="B30" s="30"/>
      <c r="C30" s="30"/>
      <c r="D30" s="30"/>
      <c r="E30" s="69"/>
      <c r="F30" s="39"/>
      <c r="G30" s="39"/>
      <c r="H30" s="39"/>
      <c r="I30" s="39"/>
      <c r="J30" s="39"/>
      <c r="K30" s="39">
        <f>ROUND(M30-L30,1)</f>
        <v>5.2</v>
      </c>
      <c r="L30" s="39">
        <f>ROUND(+L28/$E$28*100,1)</f>
        <v>38.299999999999997</v>
      </c>
      <c r="M30" s="39">
        <f>ROUND(+M28/$E$28*100,1)</f>
        <v>43.5</v>
      </c>
      <c r="N30" s="30"/>
      <c r="O30" s="63"/>
    </row>
    <row r="31" spans="1:19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9">
      <c r="A32" s="43"/>
      <c r="B32" s="24" t="s">
        <v>34</v>
      </c>
      <c r="C32" s="3"/>
      <c r="D32" s="3"/>
      <c r="E32" s="3"/>
      <c r="F32" s="3"/>
      <c r="G32" s="3"/>
      <c r="H32" s="24" t="s">
        <v>128</v>
      </c>
      <c r="I32" s="3"/>
      <c r="J32" s="3"/>
      <c r="K32" s="3"/>
      <c r="L32" s="3"/>
      <c r="M32" s="3"/>
      <c r="N32" s="3"/>
    </row>
    <row r="33" spans="1:15">
      <c r="A33" s="43"/>
      <c r="B33" s="24" t="s">
        <v>35</v>
      </c>
      <c r="C33" s="3"/>
      <c r="D33" s="3"/>
      <c r="E33" s="3"/>
      <c r="F33" s="3"/>
      <c r="G33" s="3"/>
      <c r="H33" s="24" t="s">
        <v>129</v>
      </c>
      <c r="I33" s="3"/>
      <c r="J33" s="3"/>
      <c r="K33" s="3"/>
      <c r="L33" s="3"/>
      <c r="M33" s="3"/>
      <c r="N33" s="3"/>
    </row>
    <row r="34" spans="1:15">
      <c r="A34" s="43"/>
      <c r="B34" s="24" t="s">
        <v>36</v>
      </c>
      <c r="C34" s="3"/>
      <c r="D34" s="3"/>
      <c r="E34" s="3"/>
      <c r="F34" s="3"/>
      <c r="G34" s="3"/>
      <c r="H34" s="24" t="s">
        <v>130</v>
      </c>
      <c r="I34" s="3"/>
      <c r="J34" s="3"/>
      <c r="K34" s="3"/>
      <c r="L34" s="3"/>
      <c r="M34" s="3"/>
      <c r="N34" s="3"/>
    </row>
    <row r="35" spans="1:15">
      <c r="A35" s="43" t="s">
        <v>0</v>
      </c>
      <c r="B35" s="2"/>
      <c r="C35" s="2"/>
      <c r="D35" s="2"/>
      <c r="E35" s="2"/>
      <c r="F35" s="2"/>
      <c r="G35" s="2"/>
      <c r="H35" s="24" t="s">
        <v>0</v>
      </c>
      <c r="I35" s="24"/>
      <c r="J35" s="3"/>
      <c r="K35" s="3"/>
      <c r="L35" s="3"/>
      <c r="M35" s="3"/>
      <c r="N35" s="3"/>
      <c r="O35" s="44"/>
    </row>
    <row r="36" spans="1:15">
      <c r="A36" s="2"/>
      <c r="B36" s="2"/>
      <c r="C36" s="2" t="s">
        <v>0</v>
      </c>
      <c r="D36" s="2" t="s">
        <v>0</v>
      </c>
      <c r="E36" s="56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7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70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3.25">
      <c r="F39" s="184"/>
    </row>
    <row r="45" spans="1:15">
      <c r="B45" s="1" t="s">
        <v>132</v>
      </c>
      <c r="C45" s="1" t="s">
        <v>186</v>
      </c>
    </row>
    <row r="46" spans="1:15">
      <c r="B46" s="208">
        <v>0.48</v>
      </c>
      <c r="C46" s="208">
        <v>0.43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554687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0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168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34748.400000000001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169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170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3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3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4933</v>
      </c>
      <c r="C18" s="111">
        <v>0</v>
      </c>
      <c r="D18" s="113">
        <v>4933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221">
        <v>10702</v>
      </c>
      <c r="C19" s="221">
        <v>6667</v>
      </c>
      <c r="D19" s="222">
        <v>16619</v>
      </c>
      <c r="E19" s="32">
        <f t="shared" si="0"/>
        <v>750</v>
      </c>
      <c r="F19" s="111">
        <v>557</v>
      </c>
      <c r="G19" s="32">
        <f t="shared" si="1"/>
        <v>141</v>
      </c>
      <c r="H19" s="111">
        <v>52</v>
      </c>
      <c r="I19" s="111">
        <v>2</v>
      </c>
      <c r="J19" s="32">
        <f t="shared" si="2"/>
        <v>50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221">
        <v>17260</v>
      </c>
      <c r="C20" s="221">
        <v>2036</v>
      </c>
      <c r="D20" s="222">
        <v>15360</v>
      </c>
      <c r="E20" s="32">
        <f t="shared" si="0"/>
        <v>3936</v>
      </c>
      <c r="F20" s="111">
        <v>2697</v>
      </c>
      <c r="G20" s="32">
        <f t="shared" si="1"/>
        <v>617</v>
      </c>
      <c r="H20" s="111">
        <v>606</v>
      </c>
      <c r="I20" s="111">
        <v>277</v>
      </c>
      <c r="J20" s="32">
        <f t="shared" si="2"/>
        <v>272</v>
      </c>
      <c r="K20" s="111">
        <v>16</v>
      </c>
      <c r="L20" s="111">
        <v>57</v>
      </c>
      <c r="M20" s="32">
        <f t="shared" si="3"/>
        <v>73</v>
      </c>
      <c r="N20" s="71">
        <f t="shared" si="4"/>
        <v>2E-3</v>
      </c>
      <c r="O20" s="85"/>
    </row>
    <row r="21" spans="1:15">
      <c r="A21" s="71" t="s">
        <v>14</v>
      </c>
      <c r="B21" s="221">
        <v>15066</v>
      </c>
      <c r="C21" s="221">
        <v>2044</v>
      </c>
      <c r="D21" s="222">
        <v>9385</v>
      </c>
      <c r="E21" s="32">
        <f t="shared" si="0"/>
        <v>7725</v>
      </c>
      <c r="F21" s="111">
        <v>2103</v>
      </c>
      <c r="G21" s="32">
        <f t="shared" si="1"/>
        <v>1330</v>
      </c>
      <c r="H21" s="111">
        <v>3327</v>
      </c>
      <c r="I21" s="111">
        <v>410</v>
      </c>
      <c r="J21" s="32">
        <f t="shared" si="2"/>
        <v>251</v>
      </c>
      <c r="K21" s="111">
        <v>965</v>
      </c>
      <c r="L21" s="111">
        <v>2666</v>
      </c>
      <c r="M21" s="32">
        <f t="shared" si="3"/>
        <v>3631</v>
      </c>
      <c r="N21" s="71">
        <f t="shared" si="4"/>
        <v>0.104</v>
      </c>
      <c r="O21" s="85"/>
    </row>
    <row r="22" spans="1:15">
      <c r="A22" s="71" t="s">
        <v>15</v>
      </c>
      <c r="B22" s="221">
        <v>28830</v>
      </c>
      <c r="C22" s="221">
        <v>0</v>
      </c>
      <c r="D22" s="222">
        <v>14772</v>
      </c>
      <c r="E22" s="32">
        <f t="shared" si="0"/>
        <v>14058</v>
      </c>
      <c r="F22" s="111">
        <v>2452</v>
      </c>
      <c r="G22" s="32">
        <f t="shared" si="1"/>
        <v>2283</v>
      </c>
      <c r="H22" s="111">
        <v>6927</v>
      </c>
      <c r="I22" s="111">
        <v>413</v>
      </c>
      <c r="J22" s="32">
        <f t="shared" si="2"/>
        <v>231</v>
      </c>
      <c r="K22" s="111">
        <v>2396</v>
      </c>
      <c r="L22" s="111">
        <v>6283</v>
      </c>
      <c r="M22" s="32">
        <f t="shared" si="3"/>
        <v>8679</v>
      </c>
      <c r="N22" s="71">
        <f t="shared" si="4"/>
        <v>0.25</v>
      </c>
      <c r="O22" s="85"/>
    </row>
    <row r="23" spans="1:15">
      <c r="A23" s="71" t="s">
        <v>16</v>
      </c>
      <c r="B23" s="221">
        <v>35024</v>
      </c>
      <c r="C23" s="221">
        <v>0</v>
      </c>
      <c r="D23" s="222">
        <v>11688</v>
      </c>
      <c r="E23" s="32">
        <f t="shared" si="0"/>
        <v>23336</v>
      </c>
      <c r="F23" s="111">
        <v>2089</v>
      </c>
      <c r="G23" s="32">
        <f t="shared" si="1"/>
        <v>3374</v>
      </c>
      <c r="H23" s="111">
        <v>13351</v>
      </c>
      <c r="I23" s="111">
        <v>395</v>
      </c>
      <c r="J23" s="32">
        <f t="shared" si="2"/>
        <v>219</v>
      </c>
      <c r="K23" s="111">
        <v>4522</v>
      </c>
      <c r="L23" s="111">
        <v>12737</v>
      </c>
      <c r="M23" s="32">
        <f t="shared" si="3"/>
        <v>17259</v>
      </c>
      <c r="N23" s="71">
        <f t="shared" si="4"/>
        <v>0.497</v>
      </c>
      <c r="O23" s="85"/>
    </row>
    <row r="24" spans="1:15">
      <c r="A24" s="71" t="s">
        <v>17</v>
      </c>
      <c r="B24" s="221">
        <v>16888</v>
      </c>
      <c r="C24" s="221">
        <v>0</v>
      </c>
      <c r="D24" s="222">
        <v>7381</v>
      </c>
      <c r="E24" s="32">
        <f t="shared" si="0"/>
        <v>9507</v>
      </c>
      <c r="F24" s="111">
        <v>1805</v>
      </c>
      <c r="G24" s="32">
        <f t="shared" si="1"/>
        <v>504</v>
      </c>
      <c r="H24" s="111">
        <v>5353</v>
      </c>
      <c r="I24" s="111">
        <v>267</v>
      </c>
      <c r="J24" s="32">
        <f t="shared" si="2"/>
        <v>85</v>
      </c>
      <c r="K24" s="111">
        <v>1845</v>
      </c>
      <c r="L24" s="111">
        <v>5001</v>
      </c>
      <c r="M24" s="32">
        <f t="shared" si="3"/>
        <v>6846</v>
      </c>
      <c r="N24" s="71">
        <f t="shared" si="4"/>
        <v>0.19700000000000001</v>
      </c>
      <c r="O24" s="85"/>
    </row>
    <row r="25" spans="1:15">
      <c r="A25" s="71" t="s">
        <v>18</v>
      </c>
      <c r="B25" s="111">
        <v>0</v>
      </c>
      <c r="C25" s="111">
        <v>0</v>
      </c>
      <c r="D25" s="113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3">
        <f>SUM(B26:C26)</f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3">
        <f>SUM(B27:C27)</f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32">
        <f>SUM(B16:B27)</f>
        <v>128703</v>
      </c>
      <c r="C28" s="32">
        <f>SUM(C16:C27)</f>
        <v>10747</v>
      </c>
      <c r="D28" s="32">
        <f>SUM(D16:D27)</f>
        <v>80138</v>
      </c>
      <c r="E28" s="32">
        <f>SUM(E16:E27)</f>
        <v>59312</v>
      </c>
      <c r="F28" s="32">
        <f>SUM(F16:F27)</f>
        <v>11703</v>
      </c>
      <c r="G28" s="123">
        <f t="shared" si="1"/>
        <v>8249</v>
      </c>
      <c r="H28" s="32">
        <f>SUM(H16:H27)</f>
        <v>29616</v>
      </c>
      <c r="I28" s="32">
        <f>SUM(I16:I27)</f>
        <v>1764</v>
      </c>
      <c r="J28" s="32">
        <f t="shared" si="2"/>
        <v>1108</v>
      </c>
      <c r="K28" s="32">
        <f>SUM(K16:K27)</f>
        <v>9744</v>
      </c>
      <c r="L28" s="32">
        <f>SUM(L16:L27)</f>
        <v>26744</v>
      </c>
      <c r="M28" s="32">
        <f>SUM(M16:M27)</f>
        <v>36488</v>
      </c>
      <c r="N28" s="130">
        <f t="shared" si="4"/>
        <v>1.05</v>
      </c>
      <c r="O28" s="85"/>
    </row>
    <row r="29" spans="1:15" ht="15.75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5">ROUND(+E28/$K$9,2)</f>
        <v>1.71</v>
      </c>
      <c r="F29" s="72">
        <f t="shared" si="5"/>
        <v>0.34</v>
      </c>
      <c r="G29" s="72">
        <f t="shared" si="5"/>
        <v>0.24</v>
      </c>
      <c r="H29" s="72">
        <f t="shared" si="5"/>
        <v>0.85</v>
      </c>
      <c r="I29" s="72">
        <f t="shared" si="5"/>
        <v>0.05</v>
      </c>
      <c r="J29" s="72">
        <f t="shared" si="5"/>
        <v>0.03</v>
      </c>
      <c r="K29" s="72">
        <f t="shared" si="5"/>
        <v>0.28000000000000003</v>
      </c>
      <c r="L29" s="72">
        <f t="shared" si="5"/>
        <v>0.77</v>
      </c>
      <c r="M29" s="72">
        <f t="shared" si="5"/>
        <v>1.05</v>
      </c>
      <c r="N29" s="72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39">
        <f t="shared" si="6"/>
        <v>19.73125168599946</v>
      </c>
      <c r="G30" s="39">
        <f t="shared" si="6"/>
        <v>13.907809549500943</v>
      </c>
      <c r="H30" s="39">
        <f t="shared" si="6"/>
        <v>49.932560021580791</v>
      </c>
      <c r="I30" s="39">
        <f t="shared" si="6"/>
        <v>2.9741030482870245</v>
      </c>
      <c r="J30" s="39">
        <f t="shared" si="6"/>
        <v>1.8680874022120313</v>
      </c>
      <c r="K30" s="39">
        <f t="shared" si="6"/>
        <v>16.428378742918802</v>
      </c>
      <c r="L30" s="39">
        <f t="shared" si="6"/>
        <v>45.090369571081737</v>
      </c>
      <c r="M30" s="39">
        <f t="shared" si="6"/>
        <v>61.51874831400054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102" t="s">
        <v>173</v>
      </c>
      <c r="J36" s="103"/>
      <c r="K36" s="103"/>
      <c r="L36" s="103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7"/>
      <c r="C38" s="104" t="s">
        <v>0</v>
      </c>
      <c r="D38" s="104" t="s">
        <v>0</v>
      </c>
      <c r="E38" s="104" t="s">
        <v>0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M15" sqref="M15:M26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6640625" style="1" customWidth="1"/>
    <col min="6" max="6" width="8.77734375" style="1" customWidth="1"/>
    <col min="7" max="7" width="8.88671875" style="1" customWidth="1"/>
    <col min="8" max="8" width="8.33203125" style="1" customWidth="1"/>
    <col min="9" max="10" width="7.6640625" style="1" customWidth="1"/>
    <col min="11" max="11" width="8.109375" style="1" customWidth="1"/>
    <col min="12" max="12" width="7.6640625" style="1" customWidth="1"/>
    <col min="13" max="13" width="9.109375" style="1" customWidth="1"/>
    <col min="14" max="14" width="8.5546875" style="1" customWidth="1"/>
    <col min="15" max="15" width="4.77734375" style="1" customWidth="1"/>
    <col min="16" max="16384" width="9.6640625" style="1"/>
  </cols>
  <sheetData>
    <row r="1" spans="1:15" ht="15.75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51"/>
      <c r="M3" s="3"/>
      <c r="N3" s="3"/>
    </row>
    <row r="4" spans="1:15" ht="18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8">
      <c r="A7" s="8" t="s">
        <v>4</v>
      </c>
      <c r="B7" s="2" t="s">
        <v>116</v>
      </c>
      <c r="C7" s="2"/>
      <c r="D7" s="2"/>
      <c r="E7" s="2"/>
      <c r="F7" s="2"/>
      <c r="G7" s="8" t="s">
        <v>56</v>
      </c>
      <c r="H7" s="2"/>
      <c r="I7" s="2" t="s">
        <v>120</v>
      </c>
      <c r="J7" s="2"/>
      <c r="K7" s="2"/>
      <c r="L7" s="2"/>
      <c r="M7" s="2"/>
      <c r="N7" s="2"/>
      <c r="O7" s="7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108">
        <v>21380.400000000001</v>
      </c>
      <c r="L8" s="11"/>
      <c r="M8" s="10" t="s">
        <v>77</v>
      </c>
      <c r="N8" s="119">
        <v>2022</v>
      </c>
      <c r="O8" s="7"/>
    </row>
    <row r="9" spans="1:15" ht="18">
      <c r="A9" s="10" t="s">
        <v>6</v>
      </c>
      <c r="B9" s="11" t="s">
        <v>117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5" t="s">
        <v>7</v>
      </c>
      <c r="B10" s="15" t="s">
        <v>28</v>
      </c>
      <c r="C10" s="15" t="s">
        <v>37</v>
      </c>
      <c r="D10" s="15" t="s">
        <v>119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 ht="15.75" thickTop="1">
      <c r="A11" s="18"/>
      <c r="B11" s="18"/>
      <c r="C11" s="18" t="s">
        <v>38</v>
      </c>
      <c r="D11" s="18" t="s">
        <v>43</v>
      </c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7"/>
    </row>
    <row r="12" spans="1:15">
      <c r="A12" s="22"/>
      <c r="B12" s="23" t="s">
        <v>29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23" t="s">
        <v>72</v>
      </c>
      <c r="L12" s="24"/>
      <c r="M12" s="24"/>
      <c r="N12" s="49" t="s">
        <v>85</v>
      </c>
      <c r="O12" s="63"/>
    </row>
    <row r="13" spans="1:15">
      <c r="A13" s="23" t="s">
        <v>8</v>
      </c>
      <c r="B13" s="49" t="s">
        <v>30</v>
      </c>
      <c r="C13" s="23" t="s">
        <v>118</v>
      </c>
      <c r="D13" s="23" t="s">
        <v>45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7" t="s">
        <v>73</v>
      </c>
      <c r="L13" s="27" t="s">
        <v>30</v>
      </c>
      <c r="M13" s="27"/>
      <c r="N13" s="23" t="s">
        <v>80</v>
      </c>
      <c r="O13" s="17"/>
    </row>
    <row r="14" spans="1:15">
      <c r="A14" s="23"/>
      <c r="B14" s="23" t="s">
        <v>32</v>
      </c>
      <c r="C14" s="23" t="s">
        <v>40</v>
      </c>
      <c r="D14" s="23" t="s">
        <v>32</v>
      </c>
      <c r="E14" s="23"/>
      <c r="F14" s="23" t="s">
        <v>55</v>
      </c>
      <c r="G14" s="23" t="s">
        <v>60</v>
      </c>
      <c r="H14" s="23" t="s">
        <v>62</v>
      </c>
      <c r="I14" s="22"/>
      <c r="J14" s="23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30" t="s">
        <v>9</v>
      </c>
      <c r="B15" s="110">
        <v>0</v>
      </c>
      <c r="C15" s="110">
        <v>0</v>
      </c>
      <c r="D15" s="110">
        <v>0</v>
      </c>
      <c r="E15" s="32">
        <f t="shared" ref="E15:E26" si="0">B15+C15-D15</f>
        <v>0</v>
      </c>
      <c r="F15" s="110">
        <v>0</v>
      </c>
      <c r="G15" s="32">
        <f t="shared" ref="G15:G27" si="1">E15-F15-H15-K15</f>
        <v>0</v>
      </c>
      <c r="H15" s="110">
        <v>0</v>
      </c>
      <c r="I15" s="110">
        <v>0</v>
      </c>
      <c r="J15" s="32">
        <f t="shared" ref="J15:J27" si="2">H15-I15-L15</f>
        <v>0</v>
      </c>
      <c r="K15" s="110">
        <v>0</v>
      </c>
      <c r="L15" s="110">
        <v>0</v>
      </c>
      <c r="M15" s="32">
        <f t="shared" ref="M15:M26" si="3">SUM(K15:L15)</f>
        <v>0</v>
      </c>
      <c r="N15" s="30">
        <f t="shared" ref="N15:N26" si="4">ROUND(+M15/$K$8,3)</f>
        <v>0</v>
      </c>
      <c r="O15" s="17"/>
    </row>
    <row r="16" spans="1:15">
      <c r="A16" s="30" t="s">
        <v>10</v>
      </c>
      <c r="B16" s="110">
        <v>0</v>
      </c>
      <c r="C16" s="110">
        <v>0</v>
      </c>
      <c r="D16" s="110">
        <v>0</v>
      </c>
      <c r="E16" s="32">
        <f t="shared" si="0"/>
        <v>0</v>
      </c>
      <c r="F16" s="110">
        <v>0</v>
      </c>
      <c r="G16" s="32">
        <f t="shared" si="1"/>
        <v>0</v>
      </c>
      <c r="H16" s="110">
        <v>0</v>
      </c>
      <c r="I16" s="110">
        <v>0</v>
      </c>
      <c r="J16" s="32">
        <f t="shared" si="2"/>
        <v>0</v>
      </c>
      <c r="K16" s="110">
        <v>0</v>
      </c>
      <c r="L16" s="110">
        <v>0</v>
      </c>
      <c r="M16" s="32">
        <f t="shared" si="3"/>
        <v>0</v>
      </c>
      <c r="N16" s="30">
        <f t="shared" si="4"/>
        <v>0</v>
      </c>
      <c r="O16" s="17"/>
    </row>
    <row r="17" spans="1:15">
      <c r="A17" s="30" t="s">
        <v>11</v>
      </c>
      <c r="B17" s="110">
        <v>0</v>
      </c>
      <c r="C17" s="110">
        <v>0</v>
      </c>
      <c r="D17" s="110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2">
        <f t="shared" si="3"/>
        <v>0</v>
      </c>
      <c r="N17" s="30">
        <f t="shared" si="4"/>
        <v>0</v>
      </c>
      <c r="O17" s="17"/>
    </row>
    <row r="18" spans="1:15">
      <c r="A18" s="30" t="s">
        <v>12</v>
      </c>
      <c r="B18" s="110">
        <v>1589</v>
      </c>
      <c r="C18" s="110">
        <v>0</v>
      </c>
      <c r="D18" s="110">
        <v>0</v>
      </c>
      <c r="E18" s="32">
        <f t="shared" si="0"/>
        <v>1589</v>
      </c>
      <c r="F18" s="110">
        <v>267</v>
      </c>
      <c r="G18" s="32">
        <f t="shared" si="1"/>
        <v>1322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2">
        <f t="shared" si="3"/>
        <v>0</v>
      </c>
      <c r="N18" s="30">
        <f t="shared" si="4"/>
        <v>0</v>
      </c>
      <c r="O18" s="17"/>
    </row>
    <row r="19" spans="1:15">
      <c r="A19" s="30" t="s">
        <v>13</v>
      </c>
      <c r="B19" s="179">
        <v>4463</v>
      </c>
      <c r="C19" s="179">
        <v>0</v>
      </c>
      <c r="D19" s="179">
        <v>0</v>
      </c>
      <c r="E19" s="32">
        <f t="shared" si="0"/>
        <v>4463</v>
      </c>
      <c r="F19" s="110">
        <v>1823</v>
      </c>
      <c r="G19" s="32">
        <f t="shared" si="1"/>
        <v>2622</v>
      </c>
      <c r="H19" s="110">
        <v>18</v>
      </c>
      <c r="I19" s="110">
        <v>0</v>
      </c>
      <c r="J19" s="32">
        <f t="shared" si="2"/>
        <v>0</v>
      </c>
      <c r="K19" s="110">
        <v>0</v>
      </c>
      <c r="L19" s="110">
        <v>18</v>
      </c>
      <c r="M19" s="32">
        <f t="shared" si="3"/>
        <v>18</v>
      </c>
      <c r="N19" s="30">
        <f t="shared" si="4"/>
        <v>1E-3</v>
      </c>
      <c r="O19" s="17"/>
    </row>
    <row r="20" spans="1:15">
      <c r="A20" s="30" t="s">
        <v>14</v>
      </c>
      <c r="B20" s="179">
        <v>7034</v>
      </c>
      <c r="C20" s="179">
        <v>0</v>
      </c>
      <c r="D20" s="179">
        <v>0</v>
      </c>
      <c r="E20" s="32">
        <f t="shared" si="0"/>
        <v>7034</v>
      </c>
      <c r="F20" s="110">
        <v>2182</v>
      </c>
      <c r="G20" s="32">
        <f t="shared" si="1"/>
        <v>2439</v>
      </c>
      <c r="H20" s="110">
        <v>2140</v>
      </c>
      <c r="I20" s="110">
        <v>0</v>
      </c>
      <c r="J20" s="32">
        <f t="shared" si="2"/>
        <v>0</v>
      </c>
      <c r="K20" s="110">
        <v>273</v>
      </c>
      <c r="L20" s="110">
        <v>2140</v>
      </c>
      <c r="M20" s="32">
        <f t="shared" si="3"/>
        <v>2413</v>
      </c>
      <c r="N20" s="30">
        <f t="shared" si="4"/>
        <v>0.113</v>
      </c>
      <c r="O20" s="17"/>
    </row>
    <row r="21" spans="1:15">
      <c r="A21" s="30" t="s">
        <v>15</v>
      </c>
      <c r="B21" s="179">
        <v>14660</v>
      </c>
      <c r="C21" s="179">
        <v>0</v>
      </c>
      <c r="D21" s="179">
        <v>0</v>
      </c>
      <c r="E21" s="32">
        <f t="shared" si="0"/>
        <v>14660</v>
      </c>
      <c r="F21" s="110">
        <v>2431</v>
      </c>
      <c r="G21" s="32">
        <f t="shared" si="1"/>
        <v>2359</v>
      </c>
      <c r="H21" s="110">
        <v>8825</v>
      </c>
      <c r="I21" s="110">
        <v>0</v>
      </c>
      <c r="J21" s="32">
        <f t="shared" si="2"/>
        <v>0</v>
      </c>
      <c r="K21" s="110">
        <v>1045</v>
      </c>
      <c r="L21" s="110">
        <v>8825</v>
      </c>
      <c r="M21" s="32">
        <f t="shared" si="3"/>
        <v>9870</v>
      </c>
      <c r="N21" s="30">
        <f t="shared" si="4"/>
        <v>0.46200000000000002</v>
      </c>
      <c r="O21" s="17"/>
    </row>
    <row r="22" spans="1:15">
      <c r="A22" s="30" t="s">
        <v>16</v>
      </c>
      <c r="B22" s="179">
        <v>17867</v>
      </c>
      <c r="C22" s="179">
        <v>0</v>
      </c>
      <c r="D22" s="179">
        <v>0</v>
      </c>
      <c r="E22" s="32">
        <f t="shared" si="0"/>
        <v>17867</v>
      </c>
      <c r="F22" s="110">
        <v>3003</v>
      </c>
      <c r="G22" s="32">
        <f t="shared" si="1"/>
        <v>1996</v>
      </c>
      <c r="H22" s="110">
        <v>11118</v>
      </c>
      <c r="I22" s="110">
        <v>0</v>
      </c>
      <c r="J22" s="32">
        <f t="shared" si="2"/>
        <v>0</v>
      </c>
      <c r="K22" s="110">
        <v>1750</v>
      </c>
      <c r="L22" s="110">
        <v>11118</v>
      </c>
      <c r="M22" s="32">
        <f t="shared" si="3"/>
        <v>12868</v>
      </c>
      <c r="N22" s="30">
        <f t="shared" si="4"/>
        <v>0.60199999999999998</v>
      </c>
      <c r="O22" s="17"/>
    </row>
    <row r="23" spans="1:15">
      <c r="A23" s="30" t="s">
        <v>17</v>
      </c>
      <c r="B23" s="179">
        <v>7273</v>
      </c>
      <c r="C23" s="179">
        <v>0</v>
      </c>
      <c r="D23" s="179">
        <v>0</v>
      </c>
      <c r="E23" s="32">
        <f t="shared" si="0"/>
        <v>7273</v>
      </c>
      <c r="F23" s="110">
        <v>2481</v>
      </c>
      <c r="G23" s="32">
        <f t="shared" si="1"/>
        <v>749</v>
      </c>
      <c r="H23" s="110">
        <v>3520</v>
      </c>
      <c r="I23" s="110">
        <v>0</v>
      </c>
      <c r="J23" s="32">
        <f t="shared" si="2"/>
        <v>0</v>
      </c>
      <c r="K23" s="110">
        <v>523</v>
      </c>
      <c r="L23" s="110">
        <v>3520</v>
      </c>
      <c r="M23" s="32">
        <f t="shared" si="3"/>
        <v>4043</v>
      </c>
      <c r="N23" s="30">
        <f t="shared" si="4"/>
        <v>0.189</v>
      </c>
      <c r="O23" s="17"/>
    </row>
    <row r="24" spans="1:15">
      <c r="A24" s="30" t="s">
        <v>18</v>
      </c>
      <c r="B24" s="110">
        <v>0</v>
      </c>
      <c r="C24" s="110">
        <v>0</v>
      </c>
      <c r="D24" s="110">
        <v>0</v>
      </c>
      <c r="E24" s="32">
        <f t="shared" si="0"/>
        <v>0</v>
      </c>
      <c r="F24" s="110">
        <v>0</v>
      </c>
      <c r="G24" s="32">
        <f t="shared" si="1"/>
        <v>0</v>
      </c>
      <c r="H24" s="110">
        <v>0</v>
      </c>
      <c r="I24" s="110">
        <v>0</v>
      </c>
      <c r="J24" s="32">
        <f t="shared" si="2"/>
        <v>0</v>
      </c>
      <c r="K24" s="110">
        <v>0</v>
      </c>
      <c r="L24" s="110">
        <v>0</v>
      </c>
      <c r="M24" s="32">
        <f t="shared" si="3"/>
        <v>0</v>
      </c>
      <c r="N24" s="30">
        <f t="shared" si="4"/>
        <v>0</v>
      </c>
      <c r="O24" s="17"/>
    </row>
    <row r="25" spans="1:15">
      <c r="A25" s="30" t="s">
        <v>19</v>
      </c>
      <c r="B25" s="110">
        <v>0</v>
      </c>
      <c r="C25" s="110">
        <v>0</v>
      </c>
      <c r="D25" s="110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2">
        <f t="shared" si="3"/>
        <v>0</v>
      </c>
      <c r="N25" s="30">
        <f t="shared" si="4"/>
        <v>0</v>
      </c>
      <c r="O25" s="17"/>
    </row>
    <row r="26" spans="1:15">
      <c r="A26" s="30" t="s">
        <v>20</v>
      </c>
      <c r="B26" s="110">
        <v>0</v>
      </c>
      <c r="C26" s="110">
        <v>0</v>
      </c>
      <c r="D26" s="110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2">
        <f t="shared" si="3"/>
        <v>0</v>
      </c>
      <c r="N26" s="30">
        <f t="shared" si="4"/>
        <v>0</v>
      </c>
      <c r="O26" s="17"/>
    </row>
    <row r="27" spans="1:15" ht="15.75" thickBot="1">
      <c r="A27" s="30" t="s">
        <v>21</v>
      </c>
      <c r="B27" s="32">
        <f>SUM(B15:B26)</f>
        <v>52886</v>
      </c>
      <c r="C27" s="32">
        <f>SUM(C15:C26)</f>
        <v>0</v>
      </c>
      <c r="D27" s="32">
        <f>SUM(D15:D26)</f>
        <v>0</v>
      </c>
      <c r="E27" s="32">
        <f>SUM(E15:E26)</f>
        <v>52886</v>
      </c>
      <c r="F27" s="123">
        <f>SUM(F15:F26)</f>
        <v>12187</v>
      </c>
      <c r="G27" s="32">
        <f t="shared" si="1"/>
        <v>11487</v>
      </c>
      <c r="H27" s="32">
        <f>SUM(H15:H26)</f>
        <v>25621</v>
      </c>
      <c r="I27" s="32">
        <f>SUM(I15:I26)</f>
        <v>0</v>
      </c>
      <c r="J27" s="32">
        <f t="shared" si="2"/>
        <v>0</v>
      </c>
      <c r="K27" s="32">
        <f>SUM(K15:K26)</f>
        <v>3591</v>
      </c>
      <c r="L27" s="32">
        <f>SUM(L15:L26)</f>
        <v>25621</v>
      </c>
      <c r="M27" s="32">
        <f>SUM(M15:M26)</f>
        <v>29212</v>
      </c>
      <c r="N27" s="130">
        <f>SUM(N15:N26)</f>
        <v>1.367</v>
      </c>
      <c r="O27" s="17"/>
    </row>
    <row r="28" spans="1:15" ht="15.75" thickTop="1">
      <c r="A28" s="15" t="s">
        <v>110</v>
      </c>
      <c r="B28" s="36" t="s">
        <v>0</v>
      </c>
      <c r="C28" s="36" t="s">
        <v>0</v>
      </c>
      <c r="D28" s="36" t="s">
        <v>0</v>
      </c>
      <c r="E28" s="36">
        <f t="shared" ref="E28:M28" si="5">ROUND(+E27/$K$8,2)</f>
        <v>2.4700000000000002</v>
      </c>
      <c r="F28" s="36">
        <f t="shared" si="5"/>
        <v>0.56999999999999995</v>
      </c>
      <c r="G28" s="36">
        <f t="shared" si="5"/>
        <v>0.54</v>
      </c>
      <c r="H28" s="36">
        <f t="shared" si="5"/>
        <v>1.2</v>
      </c>
      <c r="I28" s="36">
        <f t="shared" si="5"/>
        <v>0</v>
      </c>
      <c r="J28" s="36">
        <f t="shared" si="5"/>
        <v>0</v>
      </c>
      <c r="K28" s="36">
        <f t="shared" si="5"/>
        <v>0.17</v>
      </c>
      <c r="L28" s="36">
        <f t="shared" si="5"/>
        <v>1.2</v>
      </c>
      <c r="M28" s="36">
        <f t="shared" si="5"/>
        <v>1.37</v>
      </c>
      <c r="N28" s="15"/>
      <c r="O28" s="17"/>
    </row>
    <row r="29" spans="1:15">
      <c r="A29" s="30" t="s">
        <v>23</v>
      </c>
      <c r="B29" s="39" t="s">
        <v>0</v>
      </c>
      <c r="C29" s="39" t="s">
        <v>0</v>
      </c>
      <c r="D29" s="39" t="s">
        <v>0</v>
      </c>
      <c r="E29" s="39">
        <f>E27/$E$27*100</f>
        <v>100</v>
      </c>
      <c r="F29" s="39">
        <f t="shared" ref="F29:M29" si="6">ROUND(+F27/$E$27*100,1)</f>
        <v>23</v>
      </c>
      <c r="G29" s="39">
        <f t="shared" si="6"/>
        <v>21.7</v>
      </c>
      <c r="H29" s="39">
        <f t="shared" si="6"/>
        <v>48.4</v>
      </c>
      <c r="I29" s="39">
        <f t="shared" si="6"/>
        <v>0</v>
      </c>
      <c r="J29" s="39">
        <f t="shared" si="6"/>
        <v>0</v>
      </c>
      <c r="K29" s="39">
        <f t="shared" si="6"/>
        <v>6.8</v>
      </c>
      <c r="L29" s="39">
        <f t="shared" si="6"/>
        <v>48.4</v>
      </c>
      <c r="M29" s="39">
        <f t="shared" si="6"/>
        <v>55.2</v>
      </c>
      <c r="N29" s="30"/>
      <c r="O29" s="17"/>
    </row>
    <row r="30" spans="1: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>
      <c r="A31" s="24" t="s">
        <v>24</v>
      </c>
      <c r="B31" s="24" t="s">
        <v>33</v>
      </c>
      <c r="C31" s="3"/>
      <c r="D31" s="3"/>
      <c r="E31" s="3"/>
      <c r="F31" s="3"/>
      <c r="G31" s="3"/>
      <c r="H31" s="3"/>
      <c r="I31" s="24" t="s">
        <v>66</v>
      </c>
      <c r="J31" s="3"/>
      <c r="K31" s="3"/>
      <c r="L31" s="3"/>
      <c r="M31" s="3"/>
      <c r="N31" s="3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54"/>
      <c r="B35" s="2"/>
      <c r="C35" s="2" t="s">
        <v>0</v>
      </c>
      <c r="D35" s="2" t="s">
        <v>0</v>
      </c>
      <c r="E35" s="56" t="s">
        <v>0</v>
      </c>
      <c r="F35" s="2"/>
      <c r="G35" s="2"/>
      <c r="H35" s="3"/>
      <c r="I35" s="43" t="s">
        <v>0</v>
      </c>
      <c r="J35" s="3"/>
      <c r="K35" s="3"/>
      <c r="L35" s="3"/>
      <c r="M35" s="3"/>
      <c r="N35" s="3"/>
      <c r="O35" s="44"/>
    </row>
    <row r="36" spans="1:15">
      <c r="A36" s="54"/>
      <c r="B36" s="2"/>
      <c r="C36" s="2" t="s">
        <v>0</v>
      </c>
      <c r="D36" s="2" t="s">
        <v>0</v>
      </c>
      <c r="E36" s="56" t="s">
        <v>0</v>
      </c>
      <c r="F36" s="2"/>
      <c r="G36" s="2"/>
      <c r="H36" s="3"/>
      <c r="I36" s="43" t="s">
        <v>0</v>
      </c>
      <c r="J36" s="3"/>
      <c r="K36" s="3"/>
      <c r="L36" s="3"/>
      <c r="M36" s="3"/>
      <c r="N36" s="3"/>
    </row>
    <row r="37" spans="1:15">
      <c r="A37" s="7"/>
      <c r="C37" s="64" t="s">
        <v>0</v>
      </c>
      <c r="D37" s="64" t="s">
        <v>0</v>
      </c>
      <c r="E37" s="65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zoomScale="87" zoomScaleNormal="87" workbookViewId="0">
      <selection activeCell="S6" sqref="S6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5" width="7.6640625" style="78" customWidth="1"/>
    <col min="6" max="6" width="8.6640625" style="78" customWidth="1"/>
    <col min="7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0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181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3">
        <f>Fullerton!K8+mirdan!K9</f>
        <v>56128.800000000003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182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0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29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f>mirdan!B16+Fullerton!B15</f>
        <v>0</v>
      </c>
      <c r="C16" s="53">
        <f>mirdan!C16+Fullerton!C15</f>
        <v>0</v>
      </c>
      <c r="D16" s="53">
        <f>mirdan!D16+Fullerton!D15</f>
        <v>0</v>
      </c>
      <c r="E16" s="32">
        <f>mirdan!E16+Fullerton!E15</f>
        <v>0</v>
      </c>
      <c r="F16" s="53">
        <f>mirdan!F16+Fullerton!F15</f>
        <v>0</v>
      </c>
      <c r="G16" s="32">
        <f>mirdan!G16+Fullerton!G15</f>
        <v>0</v>
      </c>
      <c r="H16" s="53">
        <f>mirdan!H16+Fullerton!H15</f>
        <v>0</v>
      </c>
      <c r="I16" s="53">
        <f>mirdan!I16+Fullerton!I15</f>
        <v>0</v>
      </c>
      <c r="J16" s="32">
        <f>mirdan!J16+Fullerton!J15</f>
        <v>0</v>
      </c>
      <c r="K16" s="53">
        <f>mirdan!K16+Fullerton!K15</f>
        <v>0</v>
      </c>
      <c r="L16" s="53">
        <f>mirdan!L16+Fullerton!L15</f>
        <v>0</v>
      </c>
      <c r="M16" s="32">
        <f t="shared" ref="M16:M27" si="0">SUM(K16:L16)</f>
        <v>0</v>
      </c>
      <c r="N16" s="71">
        <f t="shared" ref="N16:N28" si="1">ROUND(+M16/$K$9,3)</f>
        <v>0</v>
      </c>
      <c r="O16" s="85"/>
    </row>
    <row r="17" spans="1:15">
      <c r="A17" s="71" t="s">
        <v>10</v>
      </c>
      <c r="B17" s="53">
        <f>mirdan!B17+Fullerton!B16</f>
        <v>0</v>
      </c>
      <c r="C17" s="53">
        <f>mirdan!C17+Fullerton!C16</f>
        <v>0</v>
      </c>
      <c r="D17" s="53">
        <f>mirdan!D17+Fullerton!D16</f>
        <v>0</v>
      </c>
      <c r="E17" s="32">
        <f>mirdan!E17+Fullerton!E16</f>
        <v>0</v>
      </c>
      <c r="F17" s="53">
        <f>mirdan!F17+Fullerton!F16</f>
        <v>0</v>
      </c>
      <c r="G17" s="32">
        <f>mirdan!G17+Fullerton!G16</f>
        <v>0</v>
      </c>
      <c r="H17" s="53">
        <f>mirdan!H17+Fullerton!H16</f>
        <v>0</v>
      </c>
      <c r="I17" s="53">
        <f>mirdan!I17+Fullerton!I16</f>
        <v>0</v>
      </c>
      <c r="J17" s="32">
        <f>mirdan!J17+Fullerton!J16</f>
        <v>0</v>
      </c>
      <c r="K17" s="53">
        <f>mirdan!K17+Fullerton!K16</f>
        <v>0</v>
      </c>
      <c r="L17" s="53">
        <f>mirdan!L17+Fullerton!L16</f>
        <v>0</v>
      </c>
      <c r="M17" s="32">
        <f t="shared" si="0"/>
        <v>0</v>
      </c>
      <c r="N17" s="71">
        <f t="shared" si="1"/>
        <v>0</v>
      </c>
      <c r="O17" s="85"/>
    </row>
    <row r="18" spans="1:15">
      <c r="A18" s="71" t="s">
        <v>11</v>
      </c>
      <c r="B18" s="53">
        <f>mirdan!B18+Fullerton!B17</f>
        <v>4933</v>
      </c>
      <c r="C18" s="53">
        <f>mirdan!C18+Fullerton!C17</f>
        <v>0</v>
      </c>
      <c r="D18" s="53">
        <f>mirdan!D18+Fullerton!D17</f>
        <v>4933</v>
      </c>
      <c r="E18" s="32">
        <f>mirdan!E18+Fullerton!E17</f>
        <v>0</v>
      </c>
      <c r="F18" s="53">
        <f>mirdan!F18+Fullerton!F17</f>
        <v>0</v>
      </c>
      <c r="G18" s="32">
        <f>mirdan!G18+Fullerton!G17</f>
        <v>0</v>
      </c>
      <c r="H18" s="53">
        <f>mirdan!H18+Fullerton!H17</f>
        <v>0</v>
      </c>
      <c r="I18" s="53">
        <f>mirdan!I18+Fullerton!I17</f>
        <v>0</v>
      </c>
      <c r="J18" s="32">
        <f>mirdan!J18+Fullerton!J17</f>
        <v>0</v>
      </c>
      <c r="K18" s="53">
        <f>mirdan!K18+Fullerton!K17</f>
        <v>0</v>
      </c>
      <c r="L18" s="53">
        <f>mirdan!L18+Fullerton!L17</f>
        <v>0</v>
      </c>
      <c r="M18" s="32">
        <f t="shared" si="0"/>
        <v>0</v>
      </c>
      <c r="N18" s="71">
        <f t="shared" si="1"/>
        <v>0</v>
      </c>
      <c r="O18" s="85"/>
    </row>
    <row r="19" spans="1:15">
      <c r="A19" s="71" t="s">
        <v>12</v>
      </c>
      <c r="B19" s="53">
        <f>mirdan!B19+Fullerton!B18</f>
        <v>12291</v>
      </c>
      <c r="C19" s="53">
        <f>mirdan!C19+Fullerton!C18</f>
        <v>6667</v>
      </c>
      <c r="D19" s="53">
        <f>mirdan!D19+Fullerton!D18</f>
        <v>16619</v>
      </c>
      <c r="E19" s="32">
        <f>mirdan!E19+Fullerton!E18</f>
        <v>2339</v>
      </c>
      <c r="F19" s="53">
        <f>mirdan!F19+Fullerton!F18</f>
        <v>824</v>
      </c>
      <c r="G19" s="32">
        <f>mirdan!G19+Fullerton!G18</f>
        <v>1463</v>
      </c>
      <c r="H19" s="53">
        <f>mirdan!H19+Fullerton!H18</f>
        <v>52</v>
      </c>
      <c r="I19" s="53">
        <f>mirdan!I19+Fullerton!I18</f>
        <v>2</v>
      </c>
      <c r="J19" s="32">
        <f>mirdan!J19+Fullerton!J18</f>
        <v>50</v>
      </c>
      <c r="K19" s="53">
        <f>mirdan!K19+Fullerton!K18</f>
        <v>0</v>
      </c>
      <c r="L19" s="53">
        <f>mirdan!L19+Fullerton!L18</f>
        <v>0</v>
      </c>
      <c r="M19" s="32">
        <f t="shared" si="0"/>
        <v>0</v>
      </c>
      <c r="N19" s="71">
        <f t="shared" si="1"/>
        <v>0</v>
      </c>
      <c r="O19" s="85"/>
    </row>
    <row r="20" spans="1:15">
      <c r="A20" s="71" t="s">
        <v>13</v>
      </c>
      <c r="B20" s="53">
        <f>mirdan!B20+Fullerton!B19</f>
        <v>21723</v>
      </c>
      <c r="C20" s="53">
        <f>mirdan!C20+Fullerton!C19</f>
        <v>2036</v>
      </c>
      <c r="D20" s="53">
        <f>mirdan!D20+Fullerton!D19</f>
        <v>15360</v>
      </c>
      <c r="E20" s="32">
        <f>mirdan!E20+Fullerton!E19</f>
        <v>8399</v>
      </c>
      <c r="F20" s="53">
        <f>mirdan!F20+Fullerton!F19</f>
        <v>4520</v>
      </c>
      <c r="G20" s="32">
        <f>mirdan!G20+Fullerton!G19</f>
        <v>3239</v>
      </c>
      <c r="H20" s="53">
        <f>mirdan!H20+Fullerton!H19</f>
        <v>624</v>
      </c>
      <c r="I20" s="53">
        <f>mirdan!I20+Fullerton!I19</f>
        <v>277</v>
      </c>
      <c r="J20" s="32">
        <f>mirdan!J20+Fullerton!J19</f>
        <v>272</v>
      </c>
      <c r="K20" s="53">
        <f>mirdan!K20+Fullerton!K19</f>
        <v>16</v>
      </c>
      <c r="L20" s="53">
        <f>mirdan!L20+Fullerton!L19</f>
        <v>75</v>
      </c>
      <c r="M20" s="32">
        <f t="shared" si="0"/>
        <v>91</v>
      </c>
      <c r="N20" s="71">
        <f t="shared" si="1"/>
        <v>2E-3</v>
      </c>
      <c r="O20" s="85"/>
    </row>
    <row r="21" spans="1:15">
      <c r="A21" s="71" t="s">
        <v>14</v>
      </c>
      <c r="B21" s="53">
        <f>mirdan!B21+Fullerton!B20</f>
        <v>22100</v>
      </c>
      <c r="C21" s="53">
        <f>mirdan!C21+Fullerton!C20</f>
        <v>2044</v>
      </c>
      <c r="D21" s="53">
        <f>mirdan!D21+Fullerton!D20</f>
        <v>9385</v>
      </c>
      <c r="E21" s="32">
        <f>mirdan!E21+Fullerton!E20</f>
        <v>14759</v>
      </c>
      <c r="F21" s="53">
        <f>mirdan!F21+Fullerton!F20</f>
        <v>4285</v>
      </c>
      <c r="G21" s="32">
        <f>mirdan!G21+Fullerton!G20</f>
        <v>3769</v>
      </c>
      <c r="H21" s="53">
        <f>mirdan!H21+Fullerton!H20</f>
        <v>5467</v>
      </c>
      <c r="I21" s="53">
        <f>mirdan!I21+Fullerton!I20</f>
        <v>410</v>
      </c>
      <c r="J21" s="32">
        <f>mirdan!J21+Fullerton!J20</f>
        <v>251</v>
      </c>
      <c r="K21" s="53">
        <f>mirdan!K21+Fullerton!K20</f>
        <v>1238</v>
      </c>
      <c r="L21" s="53">
        <f>mirdan!L21+Fullerton!L20</f>
        <v>4806</v>
      </c>
      <c r="M21" s="32">
        <f t="shared" si="0"/>
        <v>6044</v>
      </c>
      <c r="N21" s="71">
        <f t="shared" si="1"/>
        <v>0.108</v>
      </c>
      <c r="O21" s="85"/>
    </row>
    <row r="22" spans="1:15">
      <c r="A22" s="71" t="s">
        <v>15</v>
      </c>
      <c r="B22" s="53">
        <f>mirdan!B22+Fullerton!B21</f>
        <v>43490</v>
      </c>
      <c r="C22" s="53">
        <f>mirdan!C22+Fullerton!C21</f>
        <v>0</v>
      </c>
      <c r="D22" s="53">
        <f>mirdan!D22+Fullerton!D21</f>
        <v>14772</v>
      </c>
      <c r="E22" s="32">
        <f>mirdan!E22+Fullerton!E21</f>
        <v>28718</v>
      </c>
      <c r="F22" s="53">
        <f>mirdan!F22+Fullerton!F21</f>
        <v>4883</v>
      </c>
      <c r="G22" s="32">
        <f>mirdan!G22+Fullerton!G21</f>
        <v>4642</v>
      </c>
      <c r="H22" s="53">
        <f>mirdan!H22+Fullerton!H21</f>
        <v>15752</v>
      </c>
      <c r="I22" s="53">
        <f>mirdan!I22+Fullerton!I21</f>
        <v>413</v>
      </c>
      <c r="J22" s="32">
        <f>mirdan!J22+Fullerton!J21</f>
        <v>231</v>
      </c>
      <c r="K22" s="53">
        <f>mirdan!K22+Fullerton!K21</f>
        <v>3441</v>
      </c>
      <c r="L22" s="53">
        <f>mirdan!L22+Fullerton!L21</f>
        <v>15108</v>
      </c>
      <c r="M22" s="32">
        <f t="shared" si="0"/>
        <v>18549</v>
      </c>
      <c r="N22" s="71">
        <f t="shared" si="1"/>
        <v>0.33</v>
      </c>
      <c r="O22" s="85"/>
    </row>
    <row r="23" spans="1:15">
      <c r="A23" s="71" t="s">
        <v>16</v>
      </c>
      <c r="B23" s="53">
        <f>mirdan!B23+Fullerton!B22</f>
        <v>52891</v>
      </c>
      <c r="C23" s="53">
        <f>mirdan!C23+Fullerton!C22</f>
        <v>0</v>
      </c>
      <c r="D23" s="53">
        <f>mirdan!D23+Fullerton!D22</f>
        <v>11688</v>
      </c>
      <c r="E23" s="32">
        <f>mirdan!E23+Fullerton!E22</f>
        <v>41203</v>
      </c>
      <c r="F23" s="53">
        <f>mirdan!F23+Fullerton!F22</f>
        <v>5092</v>
      </c>
      <c r="G23" s="32">
        <f>mirdan!G23+Fullerton!G22</f>
        <v>5370</v>
      </c>
      <c r="H23" s="53">
        <f>mirdan!H23+Fullerton!H22</f>
        <v>24469</v>
      </c>
      <c r="I23" s="53">
        <f>mirdan!I23+Fullerton!I22</f>
        <v>395</v>
      </c>
      <c r="J23" s="32">
        <f>mirdan!J23+Fullerton!J22</f>
        <v>219</v>
      </c>
      <c r="K23" s="53">
        <f>mirdan!K23+Fullerton!K22</f>
        <v>6272</v>
      </c>
      <c r="L23" s="53">
        <f>mirdan!L23+Fullerton!L22</f>
        <v>23855</v>
      </c>
      <c r="M23" s="32">
        <f t="shared" si="0"/>
        <v>30127</v>
      </c>
      <c r="N23" s="71">
        <f t="shared" si="1"/>
        <v>0.53700000000000003</v>
      </c>
      <c r="O23" s="85"/>
    </row>
    <row r="24" spans="1:15">
      <c r="A24" s="71" t="s">
        <v>17</v>
      </c>
      <c r="B24" s="53">
        <f>mirdan!B24+Fullerton!B23</f>
        <v>24161</v>
      </c>
      <c r="C24" s="53">
        <f>mirdan!C24+Fullerton!C23</f>
        <v>0</v>
      </c>
      <c r="D24" s="53">
        <f>mirdan!D24+Fullerton!D23</f>
        <v>7381</v>
      </c>
      <c r="E24" s="32">
        <f>mirdan!E24+Fullerton!E23</f>
        <v>16780</v>
      </c>
      <c r="F24" s="53">
        <f>mirdan!F24+Fullerton!F23</f>
        <v>4286</v>
      </c>
      <c r="G24" s="32">
        <f>mirdan!G24+Fullerton!G23</f>
        <v>1253</v>
      </c>
      <c r="H24" s="53">
        <f>mirdan!H24+Fullerton!H23</f>
        <v>8873</v>
      </c>
      <c r="I24" s="53">
        <f>mirdan!I24+Fullerton!I23</f>
        <v>267</v>
      </c>
      <c r="J24" s="32">
        <f>mirdan!J24+Fullerton!J23</f>
        <v>85</v>
      </c>
      <c r="K24" s="53">
        <f>mirdan!K24+Fullerton!K23</f>
        <v>2368</v>
      </c>
      <c r="L24" s="53">
        <f>mirdan!L24+Fullerton!L23</f>
        <v>8521</v>
      </c>
      <c r="M24" s="32">
        <f t="shared" si="0"/>
        <v>10889</v>
      </c>
      <c r="N24" s="71">
        <f t="shared" si="1"/>
        <v>0.19400000000000001</v>
      </c>
      <c r="O24" s="85"/>
    </row>
    <row r="25" spans="1:15">
      <c r="A25" s="71" t="s">
        <v>18</v>
      </c>
      <c r="B25" s="53">
        <f>mirdan!B25+Fullerton!B24</f>
        <v>0</v>
      </c>
      <c r="C25" s="53">
        <f>mirdan!C25+Fullerton!C24</f>
        <v>0</v>
      </c>
      <c r="D25" s="53">
        <f>mirdan!D25+Fullerton!D24</f>
        <v>0</v>
      </c>
      <c r="E25" s="32">
        <f>mirdan!E25+Fullerton!E24</f>
        <v>0</v>
      </c>
      <c r="F25" s="53">
        <f>mirdan!F25+Fullerton!F24</f>
        <v>0</v>
      </c>
      <c r="G25" s="32">
        <f>mirdan!G25+Fullerton!G24</f>
        <v>0</v>
      </c>
      <c r="H25" s="53">
        <f>mirdan!H25+Fullerton!H24</f>
        <v>0</v>
      </c>
      <c r="I25" s="53">
        <f>mirdan!I25+Fullerton!I24</f>
        <v>0</v>
      </c>
      <c r="J25" s="32">
        <f>mirdan!J25+Fullerton!J24</f>
        <v>0</v>
      </c>
      <c r="K25" s="53">
        <f>mirdan!K25+Fullerton!K24</f>
        <v>0</v>
      </c>
      <c r="L25" s="53">
        <f>mirdan!L25+Fullerton!L24</f>
        <v>0</v>
      </c>
      <c r="M25" s="32">
        <f t="shared" si="0"/>
        <v>0</v>
      </c>
      <c r="N25" s="71">
        <f t="shared" si="1"/>
        <v>0</v>
      </c>
      <c r="O25" s="85"/>
    </row>
    <row r="26" spans="1:15">
      <c r="A26" s="71" t="s">
        <v>19</v>
      </c>
      <c r="B26" s="53">
        <f>mirdan!B26+Fullerton!B25</f>
        <v>0</v>
      </c>
      <c r="C26" s="53">
        <f>mirdan!C26+Fullerton!C25</f>
        <v>0</v>
      </c>
      <c r="D26" s="53">
        <f>mirdan!D26+Fullerton!D25</f>
        <v>0</v>
      </c>
      <c r="E26" s="32">
        <f>mirdan!E26+Fullerton!E25</f>
        <v>0</v>
      </c>
      <c r="F26" s="53">
        <f>mirdan!F26+Fullerton!F25</f>
        <v>0</v>
      </c>
      <c r="G26" s="32">
        <f>mirdan!G26+Fullerton!G25</f>
        <v>0</v>
      </c>
      <c r="H26" s="53">
        <f>mirdan!H26+Fullerton!H25</f>
        <v>0</v>
      </c>
      <c r="I26" s="53">
        <f>mirdan!I26+Fullerton!I25</f>
        <v>0</v>
      </c>
      <c r="J26" s="32">
        <f>mirdan!J26+Fullerton!J25</f>
        <v>0</v>
      </c>
      <c r="K26" s="53">
        <f>mirdan!K26+Fullerton!K25</f>
        <v>0</v>
      </c>
      <c r="L26" s="53">
        <f>mirdan!L26+Fullerton!L25</f>
        <v>0</v>
      </c>
      <c r="M26" s="32">
        <f t="shared" si="0"/>
        <v>0</v>
      </c>
      <c r="N26" s="71">
        <f t="shared" si="1"/>
        <v>0</v>
      </c>
      <c r="O26" s="85"/>
    </row>
    <row r="27" spans="1:15">
      <c r="A27" s="71" t="s">
        <v>20</v>
      </c>
      <c r="B27" s="53">
        <f>mirdan!B27+Fullerton!B26</f>
        <v>0</v>
      </c>
      <c r="C27" s="53">
        <f>mirdan!C27+Fullerton!C26</f>
        <v>0</v>
      </c>
      <c r="D27" s="53">
        <f>mirdan!D27+Fullerton!D26</f>
        <v>0</v>
      </c>
      <c r="E27" s="32">
        <f>mirdan!E27+Fullerton!E26</f>
        <v>0</v>
      </c>
      <c r="F27" s="53">
        <f>mirdan!F27+Fullerton!F26</f>
        <v>0</v>
      </c>
      <c r="G27" s="32">
        <f>mirdan!G27+Fullerton!G26</f>
        <v>0</v>
      </c>
      <c r="H27" s="53">
        <f>mirdan!H27+Fullerton!H26</f>
        <v>0</v>
      </c>
      <c r="I27" s="53">
        <f>mirdan!I27+Fullerton!I26</f>
        <v>0</v>
      </c>
      <c r="J27" s="32">
        <f>mirdan!J27+Fullerton!J26</f>
        <v>0</v>
      </c>
      <c r="K27" s="53">
        <f>mirdan!K27+Fullerton!K26</f>
        <v>0</v>
      </c>
      <c r="L27" s="53">
        <f>mirdan!L27+Fullerton!L26</f>
        <v>0</v>
      </c>
      <c r="M27" s="32">
        <f t="shared" si="0"/>
        <v>0</v>
      </c>
      <c r="N27" s="71">
        <f t="shared" si="1"/>
        <v>0</v>
      </c>
      <c r="O27" s="85"/>
    </row>
    <row r="28" spans="1:15" ht="15.75" thickBot="1">
      <c r="A28" s="71" t="s">
        <v>21</v>
      </c>
      <c r="B28" s="32">
        <f t="shared" ref="B28:I28" si="2">SUM(B16:B27)</f>
        <v>181589</v>
      </c>
      <c r="C28" s="32">
        <f t="shared" si="2"/>
        <v>10747</v>
      </c>
      <c r="D28" s="32">
        <f t="shared" si="2"/>
        <v>80138</v>
      </c>
      <c r="E28" s="32">
        <f t="shared" si="2"/>
        <v>112198</v>
      </c>
      <c r="F28" s="32">
        <f t="shared" si="2"/>
        <v>23890</v>
      </c>
      <c r="G28" s="32">
        <f t="shared" si="2"/>
        <v>19736</v>
      </c>
      <c r="H28" s="32">
        <f t="shared" si="2"/>
        <v>55237</v>
      </c>
      <c r="I28" s="32">
        <f t="shared" si="2"/>
        <v>1764</v>
      </c>
      <c r="J28" s="32">
        <f>H28-I28-L28</f>
        <v>1108</v>
      </c>
      <c r="K28" s="32">
        <f>SUM(K16:K27)</f>
        <v>13335</v>
      </c>
      <c r="L28" s="32">
        <f>SUM(L16:L27)</f>
        <v>52365</v>
      </c>
      <c r="M28" s="32">
        <f>SUM(M16:M27)</f>
        <v>65700</v>
      </c>
      <c r="N28" s="177">
        <f t="shared" si="1"/>
        <v>1.171</v>
      </c>
      <c r="O28" s="85"/>
    </row>
    <row r="29" spans="1:15" ht="15.75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3">ROUND(+E28/$K$9,2)</f>
        <v>2</v>
      </c>
      <c r="F29" s="72">
        <f t="shared" si="3"/>
        <v>0.43</v>
      </c>
      <c r="G29" s="72">
        <f t="shared" si="3"/>
        <v>0.35</v>
      </c>
      <c r="H29" s="72">
        <f t="shared" si="3"/>
        <v>0.98</v>
      </c>
      <c r="I29" s="72">
        <f t="shared" si="3"/>
        <v>0.03</v>
      </c>
      <c r="J29" s="72">
        <f t="shared" si="3"/>
        <v>0.02</v>
      </c>
      <c r="K29" s="72">
        <f t="shared" si="3"/>
        <v>0.24</v>
      </c>
      <c r="L29" s="72">
        <f t="shared" si="3"/>
        <v>0.93</v>
      </c>
      <c r="M29" s="72">
        <f t="shared" si="3"/>
        <v>1.17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4">E28/$E$28*100</f>
        <v>100</v>
      </c>
      <c r="F30" s="39">
        <f t="shared" si="4"/>
        <v>21.292714665145546</v>
      </c>
      <c r="G30" s="39">
        <f t="shared" si="4"/>
        <v>17.590331378455947</v>
      </c>
      <c r="H30" s="39">
        <f t="shared" si="4"/>
        <v>49.231715360345099</v>
      </c>
      <c r="I30" s="39">
        <f t="shared" si="4"/>
        <v>1.5722205386905292</v>
      </c>
      <c r="J30" s="39">
        <f t="shared" si="4"/>
        <v>0.98753988484643218</v>
      </c>
      <c r="K30" s="39">
        <f t="shared" si="4"/>
        <v>11.885238596053407</v>
      </c>
      <c r="L30" s="39">
        <f t="shared" si="4"/>
        <v>46.671954936808142</v>
      </c>
      <c r="M30" s="39">
        <f t="shared" si="4"/>
        <v>58.557193532861554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 t="s">
        <v>173</v>
      </c>
      <c r="J36" s="74"/>
      <c r="K36" s="74"/>
      <c r="L36" s="74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P26" sqref="P26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8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08">
        <v>34626</v>
      </c>
      <c r="L9" s="11"/>
      <c r="M9" s="13" t="s">
        <v>77</v>
      </c>
      <c r="N9" s="109">
        <v>2022</v>
      </c>
    </row>
    <row r="10" spans="1:15" ht="18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4"/>
      <c r="N10" s="14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6" t="s">
        <v>78</v>
      </c>
      <c r="N11" s="16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26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30" t="s">
        <v>9</v>
      </c>
      <c r="B16" s="110">
        <v>0</v>
      </c>
      <c r="C16" s="202">
        <v>0</v>
      </c>
      <c r="D16" s="202">
        <v>0</v>
      </c>
      <c r="E16" s="32">
        <f t="shared" ref="E16:E27" si="0">B16+C16-D16</f>
        <v>0</v>
      </c>
      <c r="F16" s="110">
        <v>0</v>
      </c>
      <c r="G16" s="32">
        <f t="shared" ref="G16:G27" si="1">E16-F16-H16-K16</f>
        <v>0</v>
      </c>
      <c r="H16" s="110">
        <v>0</v>
      </c>
      <c r="I16" s="110">
        <v>0</v>
      </c>
      <c r="J16" s="32">
        <f t="shared" ref="J16:J27" si="2">H16-I16-L16</f>
        <v>0</v>
      </c>
      <c r="K16" s="110">
        <v>0</v>
      </c>
      <c r="L16" s="110">
        <v>0</v>
      </c>
      <c r="M16" s="33">
        <f t="shared" ref="M16:M27" si="3">SUM(K16:L16)</f>
        <v>0</v>
      </c>
      <c r="N16" s="34">
        <f t="shared" ref="N16:N27" si="4">ROUND(+M16/$K$9,3)</f>
        <v>0</v>
      </c>
      <c r="O16" s="17"/>
    </row>
    <row r="17" spans="1:15">
      <c r="A17" s="30" t="s">
        <v>10</v>
      </c>
      <c r="B17" s="110">
        <v>0</v>
      </c>
      <c r="C17" s="202">
        <v>0</v>
      </c>
      <c r="D17" s="202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3">
        <f t="shared" si="3"/>
        <v>0</v>
      </c>
      <c r="N17" s="34">
        <f t="shared" si="4"/>
        <v>0</v>
      </c>
      <c r="O17" s="17"/>
    </row>
    <row r="18" spans="1:15">
      <c r="A18" s="30" t="s">
        <v>11</v>
      </c>
      <c r="B18" s="110">
        <v>0</v>
      </c>
      <c r="C18" s="202">
        <v>0</v>
      </c>
      <c r="D18" s="202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3">
        <f t="shared" si="3"/>
        <v>0</v>
      </c>
      <c r="N18" s="34">
        <f t="shared" si="4"/>
        <v>0</v>
      </c>
      <c r="O18" s="17"/>
    </row>
    <row r="19" spans="1:15">
      <c r="A19" s="30" t="s">
        <v>12</v>
      </c>
      <c r="B19" s="110">
        <v>0</v>
      </c>
      <c r="C19" s="202">
        <v>0</v>
      </c>
      <c r="D19" s="202">
        <v>0</v>
      </c>
      <c r="E19" s="32">
        <f t="shared" si="0"/>
        <v>0</v>
      </c>
      <c r="F19" s="110">
        <v>0</v>
      </c>
      <c r="G19" s="32">
        <f t="shared" si="1"/>
        <v>0</v>
      </c>
      <c r="H19" s="110">
        <v>0</v>
      </c>
      <c r="I19" s="110">
        <v>0</v>
      </c>
      <c r="J19" s="32">
        <f t="shared" si="2"/>
        <v>0</v>
      </c>
      <c r="K19" s="110">
        <v>0</v>
      </c>
      <c r="L19" s="110">
        <v>0</v>
      </c>
      <c r="M19" s="33">
        <f t="shared" si="3"/>
        <v>0</v>
      </c>
      <c r="N19" s="34">
        <f t="shared" si="4"/>
        <v>0</v>
      </c>
      <c r="O19" s="17"/>
    </row>
    <row r="20" spans="1:15">
      <c r="A20" s="30" t="s">
        <v>13</v>
      </c>
      <c r="B20" s="110">
        <v>1634</v>
      </c>
      <c r="C20" s="202">
        <v>0</v>
      </c>
      <c r="D20" s="202">
        <v>0</v>
      </c>
      <c r="E20" s="32">
        <f t="shared" si="0"/>
        <v>1634</v>
      </c>
      <c r="F20" s="110">
        <v>200</v>
      </c>
      <c r="G20" s="32">
        <f>E20-F20-H20-K20</f>
        <v>400</v>
      </c>
      <c r="H20" s="110">
        <v>1034</v>
      </c>
      <c r="I20" s="110">
        <v>700</v>
      </c>
      <c r="J20" s="32">
        <f t="shared" si="2"/>
        <v>326.8</v>
      </c>
      <c r="K20" s="110">
        <v>0</v>
      </c>
      <c r="L20" s="110">
        <v>7.2</v>
      </c>
      <c r="M20" s="33">
        <f t="shared" si="3"/>
        <v>7.2</v>
      </c>
      <c r="N20" s="34">
        <f t="shared" si="4"/>
        <v>0</v>
      </c>
      <c r="O20" s="17"/>
    </row>
    <row r="21" spans="1:15">
      <c r="A21" s="30" t="s">
        <v>14</v>
      </c>
      <c r="B21" s="110">
        <v>12683</v>
      </c>
      <c r="C21" s="202">
        <v>0</v>
      </c>
      <c r="D21" s="202">
        <v>0</v>
      </c>
      <c r="E21" s="32">
        <f t="shared" si="0"/>
        <v>12683</v>
      </c>
      <c r="F21" s="110">
        <v>525</v>
      </c>
      <c r="G21" s="32">
        <f t="shared" si="1"/>
        <v>1650</v>
      </c>
      <c r="H21" s="110">
        <v>10508</v>
      </c>
      <c r="I21" s="110">
        <v>5025</v>
      </c>
      <c r="J21" s="32">
        <f t="shared" si="2"/>
        <v>1964.58</v>
      </c>
      <c r="K21" s="110">
        <v>0</v>
      </c>
      <c r="L21" s="110">
        <v>3518.42</v>
      </c>
      <c r="M21" s="33">
        <f t="shared" si="3"/>
        <v>3518.42</v>
      </c>
      <c r="N21" s="34">
        <f t="shared" si="4"/>
        <v>0.10199999999999999</v>
      </c>
      <c r="O21" s="17"/>
    </row>
    <row r="22" spans="1:15">
      <c r="A22" s="30" t="s">
        <v>15</v>
      </c>
      <c r="B22" s="110">
        <v>32783</v>
      </c>
      <c r="C22" s="202">
        <v>0</v>
      </c>
      <c r="D22" s="202">
        <v>0</v>
      </c>
      <c r="E22" s="32">
        <f t="shared" si="0"/>
        <v>32783</v>
      </c>
      <c r="F22" s="110">
        <v>760</v>
      </c>
      <c r="G22" s="32">
        <f t="shared" si="1"/>
        <v>3000</v>
      </c>
      <c r="H22" s="110">
        <v>29023</v>
      </c>
      <c r="I22" s="110">
        <v>4625</v>
      </c>
      <c r="J22" s="32">
        <f t="shared" si="2"/>
        <v>3573.3499999999985</v>
      </c>
      <c r="K22" s="110">
        <v>0</v>
      </c>
      <c r="L22" s="110">
        <v>20824.650000000001</v>
      </c>
      <c r="M22" s="33">
        <f t="shared" si="3"/>
        <v>20824.650000000001</v>
      </c>
      <c r="N22" s="34">
        <f t="shared" si="4"/>
        <v>0.60099999999999998</v>
      </c>
      <c r="O22" s="17"/>
    </row>
    <row r="23" spans="1:15">
      <c r="A23" s="30" t="s">
        <v>16</v>
      </c>
      <c r="B23" s="110">
        <v>25732</v>
      </c>
      <c r="C23" s="202">
        <v>0</v>
      </c>
      <c r="D23" s="202">
        <v>0</v>
      </c>
      <c r="E23" s="32">
        <f t="shared" si="0"/>
        <v>25732</v>
      </c>
      <c r="F23" s="110">
        <v>680</v>
      </c>
      <c r="G23" s="32">
        <f t="shared" si="1"/>
        <v>2100</v>
      </c>
      <c r="H23" s="110">
        <v>22952</v>
      </c>
      <c r="I23" s="110">
        <v>2995</v>
      </c>
      <c r="J23" s="32">
        <f t="shared" si="2"/>
        <v>3457.5299999999988</v>
      </c>
      <c r="K23" s="110">
        <v>0</v>
      </c>
      <c r="L23" s="110">
        <v>16499.47</v>
      </c>
      <c r="M23" s="33">
        <f t="shared" si="3"/>
        <v>16499.47</v>
      </c>
      <c r="N23" s="34">
        <f t="shared" si="4"/>
        <v>0.47699999999999998</v>
      </c>
      <c r="O23" s="17"/>
    </row>
    <row r="24" spans="1:15">
      <c r="A24" s="30" t="s">
        <v>17</v>
      </c>
      <c r="B24" s="110">
        <v>12628</v>
      </c>
      <c r="C24" s="202">
        <v>0</v>
      </c>
      <c r="D24" s="202">
        <v>0</v>
      </c>
      <c r="E24" s="32">
        <f t="shared" si="0"/>
        <v>12628</v>
      </c>
      <c r="F24" s="110">
        <v>565</v>
      </c>
      <c r="G24" s="32">
        <f t="shared" si="1"/>
        <v>1535</v>
      </c>
      <c r="H24" s="110">
        <v>10528</v>
      </c>
      <c r="I24" s="110">
        <v>550</v>
      </c>
      <c r="J24" s="32">
        <f t="shared" si="2"/>
        <v>1751.9599999999991</v>
      </c>
      <c r="K24" s="110">
        <v>0</v>
      </c>
      <c r="L24" s="110">
        <v>8226.0400000000009</v>
      </c>
      <c r="M24" s="33">
        <f t="shared" si="3"/>
        <v>8226.0400000000009</v>
      </c>
      <c r="N24" s="34">
        <f t="shared" si="4"/>
        <v>0.23799999999999999</v>
      </c>
      <c r="O24" s="17"/>
    </row>
    <row r="25" spans="1:15">
      <c r="A25" s="30" t="s">
        <v>18</v>
      </c>
      <c r="B25" s="110">
        <v>0</v>
      </c>
      <c r="C25" s="202">
        <v>0</v>
      </c>
      <c r="D25" s="202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3">
        <f t="shared" si="3"/>
        <v>0</v>
      </c>
      <c r="N25" s="34">
        <f t="shared" si="4"/>
        <v>0</v>
      </c>
      <c r="O25" s="17"/>
    </row>
    <row r="26" spans="1:15">
      <c r="A26" s="30" t="s">
        <v>19</v>
      </c>
      <c r="B26" s="110">
        <v>0</v>
      </c>
      <c r="C26" s="202">
        <v>0</v>
      </c>
      <c r="D26" s="202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3">
        <f t="shared" si="3"/>
        <v>0</v>
      </c>
      <c r="N26" s="34">
        <f t="shared" si="4"/>
        <v>0</v>
      </c>
      <c r="O26" s="17"/>
    </row>
    <row r="27" spans="1:15">
      <c r="A27" s="30" t="s">
        <v>20</v>
      </c>
      <c r="B27" s="110">
        <v>0</v>
      </c>
      <c r="C27" s="202">
        <v>0</v>
      </c>
      <c r="D27" s="202">
        <v>0</v>
      </c>
      <c r="E27" s="32">
        <f t="shared" si="0"/>
        <v>0</v>
      </c>
      <c r="F27" s="110">
        <v>0</v>
      </c>
      <c r="G27" s="32">
        <f t="shared" si="1"/>
        <v>0</v>
      </c>
      <c r="H27" s="110">
        <v>0</v>
      </c>
      <c r="I27" s="110">
        <v>0</v>
      </c>
      <c r="J27" s="32">
        <f t="shared" si="2"/>
        <v>0</v>
      </c>
      <c r="K27" s="110">
        <v>0</v>
      </c>
      <c r="L27" s="110">
        <v>0</v>
      </c>
      <c r="M27" s="33">
        <f t="shared" si="3"/>
        <v>0</v>
      </c>
      <c r="N27" s="34">
        <f t="shared" si="4"/>
        <v>0</v>
      </c>
      <c r="O27" s="17"/>
    </row>
    <row r="28" spans="1:15" ht="15.75" thickBot="1">
      <c r="A28" s="30" t="s">
        <v>21</v>
      </c>
      <c r="B28" s="141">
        <f t="shared" ref="B28:N28" si="5">SUM(B16:B27)</f>
        <v>85460</v>
      </c>
      <c r="C28" s="141">
        <f t="shared" si="5"/>
        <v>0</v>
      </c>
      <c r="D28" s="141">
        <f t="shared" si="5"/>
        <v>0</v>
      </c>
      <c r="E28" s="141">
        <f t="shared" si="5"/>
        <v>85460</v>
      </c>
      <c r="F28" s="220">
        <f t="shared" si="5"/>
        <v>2730</v>
      </c>
      <c r="G28" s="141">
        <f t="shared" si="5"/>
        <v>8685</v>
      </c>
      <c r="H28" s="141">
        <f t="shared" si="5"/>
        <v>74045</v>
      </c>
      <c r="I28" s="141">
        <f t="shared" si="5"/>
        <v>13895</v>
      </c>
      <c r="J28" s="141">
        <f t="shared" si="5"/>
        <v>11074.219999999998</v>
      </c>
      <c r="K28" s="141">
        <f t="shared" si="5"/>
        <v>0</v>
      </c>
      <c r="L28" s="141">
        <f t="shared" si="5"/>
        <v>49075.780000000006</v>
      </c>
      <c r="M28" s="33">
        <f t="shared" si="5"/>
        <v>49075.780000000006</v>
      </c>
      <c r="N28" s="35">
        <f t="shared" si="5"/>
        <v>1.4179999999999999</v>
      </c>
      <c r="O28" s="17"/>
    </row>
    <row r="29" spans="1:15" ht="15.75" thickTop="1">
      <c r="A29" s="15" t="s">
        <v>22</v>
      </c>
      <c r="B29" s="36" t="s">
        <v>0</v>
      </c>
      <c r="C29" s="36" t="s">
        <v>0</v>
      </c>
      <c r="D29" s="36" t="s">
        <v>0</v>
      </c>
      <c r="E29" s="36">
        <f>ROUND(+E28/$K$9,2)</f>
        <v>2.4700000000000002</v>
      </c>
      <c r="F29" s="36">
        <f>ROUND(+F28/$K$9,2)</f>
        <v>0.08</v>
      </c>
      <c r="G29" s="36">
        <f>ROUND(E29-F29-H29-K29,2)</f>
        <v>0.25</v>
      </c>
      <c r="H29" s="36">
        <f>ROUND(+H28/$K$9,2)</f>
        <v>2.14</v>
      </c>
      <c r="I29" s="36">
        <f>ROUND(+I28/$K$9,2)</f>
        <v>0.4</v>
      </c>
      <c r="J29" s="36">
        <f>ROUND(H29-I29-L29,2)</f>
        <v>0.32</v>
      </c>
      <c r="K29" s="36">
        <f>M29-L29</f>
        <v>0</v>
      </c>
      <c r="L29" s="36">
        <f>ROUND(+L28/$K$9,2)</f>
        <v>1.42</v>
      </c>
      <c r="M29" s="37">
        <f>ROUND(+M28/$K$9,2)</f>
        <v>1.42</v>
      </c>
      <c r="N29" s="38"/>
      <c r="O29" s="17"/>
    </row>
    <row r="30" spans="1:15">
      <c r="A30" s="30" t="s">
        <v>23</v>
      </c>
      <c r="B30" s="39" t="s">
        <v>0</v>
      </c>
      <c r="C30" s="39" t="s">
        <v>0</v>
      </c>
      <c r="D30" s="39" t="s">
        <v>0</v>
      </c>
      <c r="E30" s="39">
        <f>ROUND(E28/$E$28*100,1)</f>
        <v>100</v>
      </c>
      <c r="F30" s="39">
        <f>ROUND(+F28/$E$28*100,1)</f>
        <v>3.2</v>
      </c>
      <c r="G30" s="39">
        <f>ROUND(E30-F30-H30-K30,1)</f>
        <v>10.199999999999999</v>
      </c>
      <c r="H30" s="39">
        <f>ROUND(+H28/$E$28*100,1)</f>
        <v>86.6</v>
      </c>
      <c r="I30" s="39">
        <f>ROUND(+I28/$E$28*100,1)</f>
        <v>16.3</v>
      </c>
      <c r="J30" s="39">
        <f>ROUND(H30-I30-L30,1)</f>
        <v>12.9</v>
      </c>
      <c r="K30" s="39">
        <f>ROUND(M30-L30,1)</f>
        <v>0</v>
      </c>
      <c r="L30" s="39">
        <f>ROUND(+L28/$E$28*100,1)</f>
        <v>57.4</v>
      </c>
      <c r="M30" s="40">
        <f>ROUND(+M28/$E$28*100,1)</f>
        <v>57.4</v>
      </c>
      <c r="N30" s="34"/>
      <c r="O30" s="17"/>
    </row>
    <row r="31" spans="1:15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19" t="s">
        <v>66</v>
      </c>
      <c r="J31" s="41"/>
      <c r="K31" s="41"/>
      <c r="L31" s="41"/>
      <c r="M31" s="42"/>
      <c r="N31" s="42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</row>
    <row r="35" spans="1:15">
      <c r="A35" s="43" t="s">
        <v>0</v>
      </c>
      <c r="B35" s="3"/>
      <c r="C35" s="3"/>
      <c r="D35" s="3"/>
      <c r="E35" s="3"/>
      <c r="F35" s="3"/>
      <c r="G35" s="3"/>
      <c r="H35" s="3"/>
      <c r="I35" s="3"/>
      <c r="J35" s="24"/>
      <c r="K35" s="3"/>
      <c r="L35" s="3"/>
      <c r="M35" s="44"/>
      <c r="N35" s="44"/>
      <c r="O35" s="44"/>
    </row>
    <row r="36" spans="1:15">
      <c r="A36" s="3"/>
      <c r="B36" s="3"/>
      <c r="C36" s="3" t="s">
        <v>0</v>
      </c>
      <c r="D36" s="3" t="s">
        <v>0</v>
      </c>
      <c r="E36" s="45" t="s">
        <v>0</v>
      </c>
      <c r="F36" s="3"/>
      <c r="G36" s="3"/>
      <c r="H36" s="3"/>
      <c r="I36" s="3"/>
      <c r="J36" s="3"/>
      <c r="K36" s="3"/>
      <c r="L36" s="3"/>
    </row>
    <row r="37" spans="1:15">
      <c r="C37" s="46" t="s">
        <v>0</v>
      </c>
      <c r="D37" s="46" t="s">
        <v>0</v>
      </c>
      <c r="E37" s="47" t="s">
        <v>0</v>
      </c>
    </row>
    <row r="38" spans="1:15">
      <c r="C38" s="46" t="s">
        <v>0</v>
      </c>
      <c r="D38" s="46" t="s">
        <v>0</v>
      </c>
      <c r="E38" s="4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W21" sqref="W21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 t="s">
        <v>0</v>
      </c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164</v>
      </c>
      <c r="C8" s="74"/>
      <c r="D8" s="74"/>
      <c r="E8" s="74"/>
      <c r="F8" s="74"/>
      <c r="G8" s="82" t="s">
        <v>56</v>
      </c>
      <c r="H8" s="74"/>
      <c r="I8" s="74" t="s">
        <v>167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165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10400</v>
      </c>
      <c r="L9" s="84"/>
      <c r="M9" s="83" t="s">
        <v>77</v>
      </c>
      <c r="N9" s="121">
        <v>2022</v>
      </c>
    </row>
    <row r="10" spans="1:15" ht="18">
      <c r="A10" s="83" t="s">
        <v>6</v>
      </c>
      <c r="B10" s="84" t="s">
        <v>166</v>
      </c>
      <c r="C10" s="84"/>
      <c r="D10" s="84"/>
      <c r="E10" s="84"/>
      <c r="F10" s="84"/>
      <c r="G10" s="83" t="s">
        <v>58</v>
      </c>
      <c r="H10" s="84"/>
      <c r="I10" s="84"/>
      <c r="J10" s="84"/>
      <c r="K10" s="91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213">
        <v>0</v>
      </c>
      <c r="G16" s="32">
        <f t="shared" ref="G16:G28" si="1">E16-F16-H16-K16</f>
        <v>0</v>
      </c>
      <c r="H16" s="213">
        <v>0</v>
      </c>
      <c r="I16" s="213">
        <v>0</v>
      </c>
      <c r="J16" s="32">
        <f t="shared" ref="J16:J28" si="2">H16-I16-L16</f>
        <v>0</v>
      </c>
      <c r="K16" s="213">
        <v>0</v>
      </c>
      <c r="L16" s="213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213">
        <v>0</v>
      </c>
      <c r="D17" s="213">
        <v>0</v>
      </c>
      <c r="E17" s="32">
        <f t="shared" si="0"/>
        <v>0</v>
      </c>
      <c r="F17" s="213">
        <v>0</v>
      </c>
      <c r="G17" s="32">
        <f t="shared" si="1"/>
        <v>0</v>
      </c>
      <c r="H17" s="213">
        <v>0</v>
      </c>
      <c r="I17" s="213">
        <v>0</v>
      </c>
      <c r="J17" s="32">
        <f t="shared" si="2"/>
        <v>0</v>
      </c>
      <c r="K17" s="213">
        <v>0</v>
      </c>
      <c r="L17" s="213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213">
        <v>0</v>
      </c>
      <c r="D18" s="213">
        <v>0</v>
      </c>
      <c r="E18" s="32">
        <f t="shared" si="0"/>
        <v>0</v>
      </c>
      <c r="F18" s="213">
        <v>0</v>
      </c>
      <c r="G18" s="32">
        <f t="shared" si="1"/>
        <v>0</v>
      </c>
      <c r="H18" s="213">
        <v>0</v>
      </c>
      <c r="I18" s="213">
        <v>0</v>
      </c>
      <c r="J18" s="32">
        <f t="shared" si="2"/>
        <v>0</v>
      </c>
      <c r="K18" s="213">
        <v>0</v>
      </c>
      <c r="L18" s="213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213">
        <v>0</v>
      </c>
      <c r="D19" s="213">
        <v>0</v>
      </c>
      <c r="E19" s="32">
        <f t="shared" si="0"/>
        <v>0</v>
      </c>
      <c r="F19" s="213">
        <v>0</v>
      </c>
      <c r="G19" s="32">
        <f t="shared" si="1"/>
        <v>0</v>
      </c>
      <c r="H19" s="213">
        <v>0</v>
      </c>
      <c r="I19" s="213">
        <v>0</v>
      </c>
      <c r="J19" s="32">
        <f t="shared" si="2"/>
        <v>0</v>
      </c>
      <c r="K19" s="213">
        <v>0</v>
      </c>
      <c r="L19" s="213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0</v>
      </c>
      <c r="C20" s="213">
        <v>0</v>
      </c>
      <c r="D20" s="213">
        <v>0</v>
      </c>
      <c r="E20" s="32">
        <f t="shared" si="0"/>
        <v>0</v>
      </c>
      <c r="F20" s="213">
        <v>0</v>
      </c>
      <c r="G20" s="32">
        <f t="shared" si="1"/>
        <v>0</v>
      </c>
      <c r="H20" s="213">
        <v>0</v>
      </c>
      <c r="I20" s="213">
        <v>0</v>
      </c>
      <c r="J20" s="32">
        <f t="shared" si="2"/>
        <v>0</v>
      </c>
      <c r="K20" s="213">
        <v>0</v>
      </c>
      <c r="L20" s="213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0</v>
      </c>
      <c r="C21" s="213">
        <v>0</v>
      </c>
      <c r="D21" s="213">
        <v>0</v>
      </c>
      <c r="E21" s="32">
        <f t="shared" si="0"/>
        <v>0</v>
      </c>
      <c r="F21" s="213">
        <v>0</v>
      </c>
      <c r="G21" s="32">
        <f t="shared" si="1"/>
        <v>0</v>
      </c>
      <c r="H21" s="213">
        <v>0</v>
      </c>
      <c r="I21" s="213">
        <v>0</v>
      </c>
      <c r="J21" s="32">
        <f t="shared" si="2"/>
        <v>0</v>
      </c>
      <c r="K21" s="213">
        <v>0</v>
      </c>
      <c r="L21" s="213">
        <v>0</v>
      </c>
      <c r="M21" s="32">
        <f t="shared" si="3"/>
        <v>0</v>
      </c>
      <c r="N21" s="71">
        <f t="shared" si="4"/>
        <v>0</v>
      </c>
      <c r="O21" s="85"/>
    </row>
    <row r="22" spans="1:15">
      <c r="A22" s="71" t="s">
        <v>15</v>
      </c>
      <c r="B22" s="111">
        <v>4312</v>
      </c>
      <c r="C22" s="213">
        <v>0</v>
      </c>
      <c r="D22" s="213">
        <v>0</v>
      </c>
      <c r="E22" s="32">
        <f t="shared" si="0"/>
        <v>4312</v>
      </c>
      <c r="F22" s="209">
        <v>0</v>
      </c>
      <c r="G22" s="32">
        <f t="shared" si="1"/>
        <v>1279</v>
      </c>
      <c r="H22" s="210">
        <v>2985</v>
      </c>
      <c r="I22" s="211">
        <v>217</v>
      </c>
      <c r="J22" s="32">
        <f>H22-I22-L22</f>
        <v>1273</v>
      </c>
      <c r="K22" s="212">
        <v>48</v>
      </c>
      <c r="L22" s="213">
        <v>1495</v>
      </c>
      <c r="M22" s="32">
        <f t="shared" si="3"/>
        <v>1543</v>
      </c>
      <c r="N22" s="71">
        <f t="shared" si="4"/>
        <v>0.14799999999999999</v>
      </c>
      <c r="O22" s="85"/>
    </row>
    <row r="23" spans="1:15">
      <c r="A23" s="71" t="s">
        <v>16</v>
      </c>
      <c r="B23" s="111">
        <v>5133</v>
      </c>
      <c r="C23" s="213">
        <v>0</v>
      </c>
      <c r="D23" s="213">
        <v>0</v>
      </c>
      <c r="E23" s="32">
        <f t="shared" si="0"/>
        <v>5133</v>
      </c>
      <c r="F23" s="209">
        <v>0</v>
      </c>
      <c r="G23" s="32">
        <f t="shared" si="1"/>
        <v>1088</v>
      </c>
      <c r="H23" s="210">
        <v>3950</v>
      </c>
      <c r="I23" s="211">
        <v>183</v>
      </c>
      <c r="J23" s="32">
        <f t="shared" si="2"/>
        <v>1107</v>
      </c>
      <c r="K23" s="212">
        <v>95</v>
      </c>
      <c r="L23" s="213">
        <v>2660</v>
      </c>
      <c r="M23" s="32">
        <f t="shared" si="3"/>
        <v>2755</v>
      </c>
      <c r="N23" s="71">
        <f t="shared" si="4"/>
        <v>0.26500000000000001</v>
      </c>
      <c r="O23" s="85"/>
    </row>
    <row r="24" spans="1:15">
      <c r="A24" s="71" t="s">
        <v>17</v>
      </c>
      <c r="B24" s="111">
        <v>825</v>
      </c>
      <c r="C24" s="213">
        <v>0</v>
      </c>
      <c r="D24" s="213">
        <v>0</v>
      </c>
      <c r="E24" s="32">
        <f t="shared" si="0"/>
        <v>825</v>
      </c>
      <c r="F24" s="209">
        <v>0</v>
      </c>
      <c r="G24" s="32">
        <f t="shared" si="1"/>
        <v>116</v>
      </c>
      <c r="H24" s="210">
        <v>689</v>
      </c>
      <c r="I24" s="211">
        <v>39</v>
      </c>
      <c r="J24" s="32">
        <f t="shared" si="2"/>
        <v>200</v>
      </c>
      <c r="K24" s="212">
        <v>20</v>
      </c>
      <c r="L24" s="213">
        <v>450</v>
      </c>
      <c r="M24" s="32">
        <f t="shared" si="3"/>
        <v>470</v>
      </c>
      <c r="N24" s="71">
        <f t="shared" si="4"/>
        <v>4.4999999999999998E-2</v>
      </c>
      <c r="O24" s="85"/>
    </row>
    <row r="25" spans="1:15">
      <c r="A25" s="71" t="s">
        <v>18</v>
      </c>
      <c r="B25" s="111">
        <v>0</v>
      </c>
      <c r="C25" s="213">
        <v>0</v>
      </c>
      <c r="D25" s="213">
        <v>0</v>
      </c>
      <c r="E25" s="32">
        <f t="shared" si="0"/>
        <v>0</v>
      </c>
      <c r="F25" s="213">
        <v>0</v>
      </c>
      <c r="G25" s="32">
        <f t="shared" si="1"/>
        <v>0</v>
      </c>
      <c r="H25" s="213">
        <v>0</v>
      </c>
      <c r="I25" s="213">
        <v>0</v>
      </c>
      <c r="J25" s="32">
        <f t="shared" si="2"/>
        <v>0</v>
      </c>
      <c r="K25" s="213">
        <v>0</v>
      </c>
      <c r="L25" s="213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213">
        <v>0</v>
      </c>
      <c r="D26" s="213">
        <v>0</v>
      </c>
      <c r="E26" s="32">
        <f t="shared" si="0"/>
        <v>0</v>
      </c>
      <c r="F26" s="213">
        <v>0</v>
      </c>
      <c r="G26" s="32">
        <f t="shared" si="1"/>
        <v>0</v>
      </c>
      <c r="H26" s="213">
        <v>0</v>
      </c>
      <c r="I26" s="213">
        <v>0</v>
      </c>
      <c r="J26" s="32">
        <f t="shared" si="2"/>
        <v>0</v>
      </c>
      <c r="K26" s="213">
        <v>0</v>
      </c>
      <c r="L26" s="213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213">
        <v>0</v>
      </c>
      <c r="D27" s="213">
        <v>0</v>
      </c>
      <c r="E27" s="32">
        <f t="shared" si="0"/>
        <v>0</v>
      </c>
      <c r="F27" s="213">
        <v>0</v>
      </c>
      <c r="G27" s="32">
        <f t="shared" si="1"/>
        <v>0</v>
      </c>
      <c r="H27" s="213">
        <v>0</v>
      </c>
      <c r="I27" s="213">
        <v>0</v>
      </c>
      <c r="J27" s="32">
        <f t="shared" si="2"/>
        <v>0</v>
      </c>
      <c r="K27" s="213">
        <v>0</v>
      </c>
      <c r="L27" s="213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6">
        <f>SUM(B16:B27)</f>
        <v>10270</v>
      </c>
      <c r="C28" s="176">
        <f>SUM(C16:C27)</f>
        <v>0</v>
      </c>
      <c r="D28" s="176">
        <f>SUM(D16:D27)</f>
        <v>0</v>
      </c>
      <c r="E28" s="176">
        <f>SUM(E16:E27)</f>
        <v>10270</v>
      </c>
      <c r="F28" s="176">
        <f>SUM(F16:F27)</f>
        <v>0</v>
      </c>
      <c r="G28" s="176">
        <f t="shared" si="1"/>
        <v>2483</v>
      </c>
      <c r="H28" s="176">
        <f>SUM(H16:H27)</f>
        <v>7624</v>
      </c>
      <c r="I28" s="176">
        <f>SUM(I16:I27)</f>
        <v>439</v>
      </c>
      <c r="J28" s="176">
        <f t="shared" si="2"/>
        <v>2580</v>
      </c>
      <c r="K28" s="176">
        <f>SUM(K16:K27)</f>
        <v>163</v>
      </c>
      <c r="L28" s="176">
        <f>SUM(L16:L27)</f>
        <v>4605</v>
      </c>
      <c r="M28" s="176">
        <f>SUM(M16:M27)</f>
        <v>4768</v>
      </c>
      <c r="N28" s="177">
        <f t="shared" si="4"/>
        <v>0.45800000000000002</v>
      </c>
      <c r="O28" s="85"/>
    </row>
    <row r="29" spans="1:15" ht="15.75" thickTop="1">
      <c r="A29" s="72" t="s">
        <v>110</v>
      </c>
      <c r="B29" s="88" t="s">
        <v>0</v>
      </c>
      <c r="C29" s="88" t="s">
        <v>0</v>
      </c>
      <c r="D29" s="88" t="s">
        <v>0</v>
      </c>
      <c r="E29" s="88">
        <f t="shared" ref="E29:M29" si="5">ROUND(+E28/$K$9,2)</f>
        <v>0.99</v>
      </c>
      <c r="F29" s="88">
        <f t="shared" si="5"/>
        <v>0</v>
      </c>
      <c r="G29" s="88">
        <f t="shared" si="5"/>
        <v>0.24</v>
      </c>
      <c r="H29" s="88">
        <f t="shared" si="5"/>
        <v>0.73</v>
      </c>
      <c r="I29" s="88">
        <f t="shared" si="5"/>
        <v>0.04</v>
      </c>
      <c r="J29" s="88">
        <f t="shared" si="5"/>
        <v>0.25</v>
      </c>
      <c r="K29" s="88">
        <f t="shared" si="5"/>
        <v>0.02</v>
      </c>
      <c r="L29" s="88">
        <f t="shared" si="5"/>
        <v>0.44</v>
      </c>
      <c r="M29" s="88">
        <f t="shared" si="5"/>
        <v>0.46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71">
        <f t="shared" si="6"/>
        <v>0</v>
      </c>
      <c r="G30" s="39">
        <f t="shared" si="6"/>
        <v>24.177215189873419</v>
      </c>
      <c r="H30" s="39">
        <f t="shared" si="6"/>
        <v>74.235637779941584</v>
      </c>
      <c r="I30" s="39">
        <f t="shared" si="6"/>
        <v>4.2745861733203512</v>
      </c>
      <c r="J30" s="39">
        <f t="shared" si="6"/>
        <v>25.121713729308663</v>
      </c>
      <c r="K30" s="39">
        <f t="shared" si="6"/>
        <v>1.5871470301850048</v>
      </c>
      <c r="L30" s="39">
        <f t="shared" si="6"/>
        <v>44.839337877312566</v>
      </c>
      <c r="M30" s="39">
        <f t="shared" si="6"/>
        <v>46.426484907497567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/>
      <c r="J36" s="74"/>
      <c r="K36" s="74"/>
      <c r="L36" s="74"/>
      <c r="M36" s="74"/>
      <c r="N36" s="74"/>
      <c r="O36" s="77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"/>
  <sheetViews>
    <sheetView showOutlineSymbols="0" zoomScale="87" zoomScaleNormal="87" workbookViewId="0">
      <selection activeCell="Q22" sqref="Q22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1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8">
      <c r="A7" s="8" t="s">
        <v>4</v>
      </c>
      <c r="B7" s="134" t="s">
        <v>184</v>
      </c>
      <c r="C7" s="2"/>
      <c r="D7" s="2"/>
      <c r="E7" s="134" t="s">
        <v>0</v>
      </c>
      <c r="F7" s="2"/>
      <c r="G7" s="8" t="s">
        <v>56</v>
      </c>
      <c r="H7" s="2"/>
      <c r="I7" s="2" t="s">
        <v>103</v>
      </c>
      <c r="J7" s="2"/>
      <c r="K7" s="2"/>
      <c r="L7" s="2"/>
      <c r="M7" s="2"/>
      <c r="N7" s="2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52" t="s">
        <v>0</v>
      </c>
      <c r="L8" s="11"/>
      <c r="M8" s="10" t="s">
        <v>77</v>
      </c>
      <c r="N8" s="119">
        <v>2022</v>
      </c>
    </row>
    <row r="9" spans="1:15" ht="18">
      <c r="A9" s="10" t="s">
        <v>6</v>
      </c>
      <c r="B9" s="11" t="s">
        <v>102</v>
      </c>
      <c r="C9" s="11"/>
      <c r="D9" s="11"/>
      <c r="E9" s="11"/>
      <c r="F9" s="11"/>
      <c r="G9" s="10" t="s">
        <v>58</v>
      </c>
      <c r="H9" s="11"/>
      <c r="I9" s="11"/>
      <c r="J9" s="11"/>
      <c r="K9" s="11"/>
      <c r="L9" s="11"/>
      <c r="M9" s="11"/>
      <c r="N9" s="11"/>
    </row>
    <row r="10" spans="1:15">
      <c r="A10" s="15" t="s">
        <v>7</v>
      </c>
      <c r="B10" s="15" t="s">
        <v>28</v>
      </c>
      <c r="C10" s="15" t="s">
        <v>37</v>
      </c>
      <c r="D10" s="15" t="s">
        <v>42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>
      <c r="A11" s="15"/>
      <c r="B11" s="18" t="s">
        <v>29</v>
      </c>
      <c r="C11" s="18" t="s">
        <v>38</v>
      </c>
      <c r="D11" s="18" t="s">
        <v>43</v>
      </c>
      <c r="E11" s="15"/>
      <c r="F11" s="15"/>
      <c r="G11" s="15"/>
      <c r="H11" s="15"/>
      <c r="I11" s="15"/>
      <c r="J11" s="15"/>
      <c r="K11" s="18" t="s">
        <v>72</v>
      </c>
      <c r="L11" s="19"/>
      <c r="M11" s="19"/>
      <c r="N11" s="18"/>
      <c r="O11" s="17"/>
    </row>
    <row r="12" spans="1:15">
      <c r="A12" s="23" t="s">
        <v>8</v>
      </c>
      <c r="B12" s="23" t="s">
        <v>30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30"/>
      <c r="L12" s="30"/>
      <c r="M12" s="30"/>
      <c r="N12" s="49" t="s">
        <v>85</v>
      </c>
      <c r="O12" s="17"/>
    </row>
    <row r="13" spans="1:15">
      <c r="A13" s="23"/>
      <c r="B13" s="23" t="s">
        <v>104</v>
      </c>
      <c r="C13" s="23" t="s">
        <v>106</v>
      </c>
      <c r="D13" s="23" t="s">
        <v>108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3" t="s">
        <v>73</v>
      </c>
      <c r="L13" s="23" t="s">
        <v>30</v>
      </c>
      <c r="M13" s="23"/>
      <c r="N13" s="23" t="s">
        <v>80</v>
      </c>
      <c r="O13" s="17"/>
    </row>
    <row r="14" spans="1:15">
      <c r="A14" s="22"/>
      <c r="B14" s="23" t="s">
        <v>105</v>
      </c>
      <c r="C14" s="23" t="s">
        <v>107</v>
      </c>
      <c r="D14" s="23" t="s">
        <v>109</v>
      </c>
      <c r="E14" s="22"/>
      <c r="F14" s="23" t="s">
        <v>55</v>
      </c>
      <c r="G14" s="23" t="s">
        <v>60</v>
      </c>
      <c r="H14" s="23" t="s">
        <v>62</v>
      </c>
      <c r="I14" s="22"/>
      <c r="J14" s="22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21" spans="1:14" ht="23.25">
      <c r="A21" s="59" t="s">
        <v>192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7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4" t="s">
        <v>162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9946</v>
      </c>
      <c r="L9" s="196" t="s">
        <v>0</v>
      </c>
      <c r="M9" s="93" t="s">
        <v>77</v>
      </c>
      <c r="N9" s="125">
        <v>2022</v>
      </c>
    </row>
    <row r="10" spans="1:15" ht="18.75" thickBot="1">
      <c r="A10" s="83" t="s">
        <v>6</v>
      </c>
      <c r="B10" s="175" t="s">
        <v>163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187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188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4"/>
      <c r="B15" s="114" t="s">
        <v>32</v>
      </c>
      <c r="C15" s="114" t="s">
        <v>40</v>
      </c>
      <c r="D15" s="114" t="s">
        <v>189</v>
      </c>
      <c r="E15" s="114"/>
      <c r="F15" s="114" t="s">
        <v>55</v>
      </c>
      <c r="G15" s="114" t="s">
        <v>60</v>
      </c>
      <c r="H15" s="114" t="s">
        <v>62</v>
      </c>
      <c r="I15" s="115"/>
      <c r="J15" s="114"/>
      <c r="K15" s="114" t="s">
        <v>74</v>
      </c>
      <c r="L15" s="114" t="s">
        <v>76</v>
      </c>
      <c r="M15" s="116" t="s">
        <v>21</v>
      </c>
      <c r="N15" s="117" t="s">
        <v>81</v>
      </c>
      <c r="O15" s="85"/>
    </row>
    <row r="16" spans="1:15">
      <c r="A16" s="139" t="s">
        <v>9</v>
      </c>
      <c r="B16" s="110">
        <v>0</v>
      </c>
      <c r="C16" s="140">
        <v>0</v>
      </c>
      <c r="D16" s="202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54">
        <f t="shared" ref="H16:H27" si="2">L16</f>
        <v>0</v>
      </c>
      <c r="I16" s="110">
        <v>0</v>
      </c>
      <c r="J16" s="141">
        <f t="shared" ref="J16:J28" si="3">H16-I16-L16</f>
        <v>0</v>
      </c>
      <c r="K16" s="110">
        <v>0</v>
      </c>
      <c r="L16" s="110">
        <v>0</v>
      </c>
      <c r="M16" s="155">
        <f t="shared" ref="M16:M27" si="4">SUM(K16:L16)</f>
        <v>0</v>
      </c>
      <c r="N16" s="156">
        <f t="shared" ref="N16:N28" si="5">ROUND(+M16/$K$9,3)</f>
        <v>0</v>
      </c>
      <c r="O16" s="17"/>
    </row>
    <row r="17" spans="1:15">
      <c r="A17" s="139" t="s">
        <v>10</v>
      </c>
      <c r="B17" s="202">
        <v>0</v>
      </c>
      <c r="C17" s="140">
        <v>0</v>
      </c>
      <c r="D17" s="202">
        <v>0</v>
      </c>
      <c r="E17" s="141">
        <f t="shared" si="0"/>
        <v>0</v>
      </c>
      <c r="F17" s="110">
        <v>0</v>
      </c>
      <c r="G17" s="141">
        <f t="shared" si="1"/>
        <v>0</v>
      </c>
      <c r="H17" s="154">
        <f t="shared" si="2"/>
        <v>0</v>
      </c>
      <c r="I17" s="110">
        <v>0</v>
      </c>
      <c r="J17" s="141">
        <f t="shared" si="3"/>
        <v>0</v>
      </c>
      <c r="K17" s="110">
        <v>0</v>
      </c>
      <c r="L17" s="110">
        <v>0</v>
      </c>
      <c r="M17" s="155">
        <f t="shared" si="4"/>
        <v>0</v>
      </c>
      <c r="N17" s="156">
        <f t="shared" si="5"/>
        <v>0</v>
      </c>
      <c r="O17" s="17"/>
    </row>
    <row r="18" spans="1:15">
      <c r="A18" s="139" t="s">
        <v>11</v>
      </c>
      <c r="B18" s="110">
        <v>0</v>
      </c>
      <c r="C18" s="140">
        <v>0</v>
      </c>
      <c r="D18" s="202">
        <v>0</v>
      </c>
      <c r="E18" s="141">
        <f t="shared" si="0"/>
        <v>0</v>
      </c>
      <c r="F18" s="110">
        <v>0</v>
      </c>
      <c r="G18" s="141">
        <f t="shared" si="1"/>
        <v>0</v>
      </c>
      <c r="H18" s="154">
        <f t="shared" si="2"/>
        <v>0</v>
      </c>
      <c r="I18" s="110">
        <v>0</v>
      </c>
      <c r="J18" s="141">
        <f t="shared" si="3"/>
        <v>0</v>
      </c>
      <c r="K18" s="110">
        <v>0</v>
      </c>
      <c r="L18" s="110">
        <v>0</v>
      </c>
      <c r="M18" s="155">
        <f t="shared" si="4"/>
        <v>0</v>
      </c>
      <c r="N18" s="156">
        <f t="shared" si="5"/>
        <v>0</v>
      </c>
      <c r="O18" s="17"/>
    </row>
    <row r="19" spans="1:15">
      <c r="A19" s="139" t="s">
        <v>12</v>
      </c>
      <c r="B19" s="110">
        <v>0</v>
      </c>
      <c r="C19" s="140">
        <v>0</v>
      </c>
      <c r="D19" s="202">
        <v>0</v>
      </c>
      <c r="E19" s="141">
        <f t="shared" si="0"/>
        <v>0</v>
      </c>
      <c r="F19" s="110">
        <v>0</v>
      </c>
      <c r="G19" s="141">
        <f t="shared" si="1"/>
        <v>0</v>
      </c>
      <c r="H19" s="154">
        <f t="shared" si="2"/>
        <v>0</v>
      </c>
      <c r="I19" s="110">
        <v>0</v>
      </c>
      <c r="J19" s="141">
        <f t="shared" si="3"/>
        <v>0</v>
      </c>
      <c r="K19" s="110">
        <v>0</v>
      </c>
      <c r="L19" s="110">
        <v>0</v>
      </c>
      <c r="M19" s="155">
        <f t="shared" si="4"/>
        <v>0</v>
      </c>
      <c r="N19" s="156">
        <f t="shared" si="5"/>
        <v>0</v>
      </c>
      <c r="O19" s="17"/>
    </row>
    <row r="20" spans="1:15">
      <c r="A20" s="139" t="s">
        <v>13</v>
      </c>
      <c r="B20" s="110">
        <v>0</v>
      </c>
      <c r="C20" s="140">
        <v>0</v>
      </c>
      <c r="D20" s="202">
        <v>0</v>
      </c>
      <c r="E20" s="141">
        <f t="shared" si="0"/>
        <v>0</v>
      </c>
      <c r="F20" s="110">
        <v>0</v>
      </c>
      <c r="G20" s="141">
        <f t="shared" si="1"/>
        <v>0</v>
      </c>
      <c r="H20" s="154">
        <f t="shared" si="2"/>
        <v>0</v>
      </c>
      <c r="I20" s="110">
        <v>0</v>
      </c>
      <c r="J20" s="141">
        <f t="shared" si="3"/>
        <v>0</v>
      </c>
      <c r="K20" s="110">
        <v>0</v>
      </c>
      <c r="L20" s="110">
        <v>0</v>
      </c>
      <c r="M20" s="155">
        <f t="shared" si="4"/>
        <v>0</v>
      </c>
      <c r="N20" s="156">
        <f t="shared" si="5"/>
        <v>0</v>
      </c>
      <c r="O20" s="17"/>
    </row>
    <row r="21" spans="1:15">
      <c r="A21" s="139" t="s">
        <v>14</v>
      </c>
      <c r="B21" s="110">
        <v>4245</v>
      </c>
      <c r="C21" s="140">
        <v>0</v>
      </c>
      <c r="D21" s="216">
        <v>348</v>
      </c>
      <c r="E21" s="141">
        <f t="shared" si="0"/>
        <v>3897</v>
      </c>
      <c r="F21" s="110">
        <v>0</v>
      </c>
      <c r="G21" s="141">
        <f t="shared" si="1"/>
        <v>2770.8599999999997</v>
      </c>
      <c r="H21" s="154">
        <f t="shared" si="2"/>
        <v>644.54999999999995</v>
      </c>
      <c r="I21" s="110">
        <v>0</v>
      </c>
      <c r="J21" s="141">
        <f t="shared" si="3"/>
        <v>0</v>
      </c>
      <c r="K21" s="110">
        <v>481.59</v>
      </c>
      <c r="L21" s="110">
        <v>644.54999999999995</v>
      </c>
      <c r="M21" s="155">
        <f t="shared" si="4"/>
        <v>1126.1399999999999</v>
      </c>
      <c r="N21" s="156">
        <f t="shared" si="5"/>
        <v>0.113</v>
      </c>
      <c r="O21" s="17"/>
    </row>
    <row r="22" spans="1:15">
      <c r="A22" s="139" t="s">
        <v>15</v>
      </c>
      <c r="B22" s="110">
        <v>9438</v>
      </c>
      <c r="C22" s="140">
        <v>0</v>
      </c>
      <c r="D22" s="217">
        <v>1212</v>
      </c>
      <c r="E22" s="141">
        <f t="shared" si="0"/>
        <v>8226</v>
      </c>
      <c r="F22" s="110">
        <v>0</v>
      </c>
      <c r="G22" s="141">
        <f t="shared" si="1"/>
        <v>4681.4400000000005</v>
      </c>
      <c r="H22" s="154">
        <f t="shared" si="2"/>
        <v>2050.33</v>
      </c>
      <c r="I22" s="110">
        <v>0</v>
      </c>
      <c r="J22" s="141">
        <f t="shared" si="3"/>
        <v>0</v>
      </c>
      <c r="K22" s="110">
        <v>1494.23</v>
      </c>
      <c r="L22" s="110">
        <v>2050.33</v>
      </c>
      <c r="M22" s="155">
        <f t="shared" si="4"/>
        <v>3544.56</v>
      </c>
      <c r="N22" s="156">
        <f t="shared" si="5"/>
        <v>0.35599999999999998</v>
      </c>
      <c r="O22" s="17"/>
    </row>
    <row r="23" spans="1:15">
      <c r="A23" s="139" t="s">
        <v>16</v>
      </c>
      <c r="B23" s="110">
        <v>7939</v>
      </c>
      <c r="C23" s="140">
        <v>0</v>
      </c>
      <c r="D23" s="217">
        <v>1164</v>
      </c>
      <c r="E23" s="141">
        <f t="shared" si="0"/>
        <v>6775</v>
      </c>
      <c r="F23" s="110">
        <v>0</v>
      </c>
      <c r="G23" s="141">
        <f t="shared" si="1"/>
        <v>3064.72</v>
      </c>
      <c r="H23" s="154">
        <f t="shared" si="2"/>
        <v>2042.93</v>
      </c>
      <c r="I23" s="110">
        <v>0</v>
      </c>
      <c r="J23" s="141">
        <f t="shared" si="3"/>
        <v>0</v>
      </c>
      <c r="K23" s="110">
        <v>1667.35</v>
      </c>
      <c r="L23" s="110">
        <v>2042.93</v>
      </c>
      <c r="M23" s="155">
        <f t="shared" si="4"/>
        <v>3710.2799999999997</v>
      </c>
      <c r="N23" s="156">
        <f t="shared" si="5"/>
        <v>0.373</v>
      </c>
      <c r="O23" s="17"/>
    </row>
    <row r="24" spans="1:15">
      <c r="A24" s="139" t="s">
        <v>17</v>
      </c>
      <c r="B24" s="110">
        <v>276</v>
      </c>
      <c r="C24" s="140">
        <v>0</v>
      </c>
      <c r="D24" s="216">
        <v>16</v>
      </c>
      <c r="E24" s="141">
        <f t="shared" si="0"/>
        <v>260</v>
      </c>
      <c r="F24" s="110">
        <v>0</v>
      </c>
      <c r="G24" s="141">
        <f t="shared" si="1"/>
        <v>260</v>
      </c>
      <c r="H24" s="154">
        <f t="shared" si="2"/>
        <v>0</v>
      </c>
      <c r="I24" s="110">
        <v>0</v>
      </c>
      <c r="J24" s="141">
        <f t="shared" si="3"/>
        <v>0</v>
      </c>
      <c r="K24" s="110">
        <v>0</v>
      </c>
      <c r="L24" s="110">
        <v>0</v>
      </c>
      <c r="M24" s="155">
        <f t="shared" si="4"/>
        <v>0</v>
      </c>
      <c r="N24" s="156">
        <f t="shared" si="5"/>
        <v>0</v>
      </c>
      <c r="O24" s="17"/>
    </row>
    <row r="25" spans="1:15">
      <c r="A25" s="139" t="s">
        <v>18</v>
      </c>
      <c r="B25" s="110">
        <v>0</v>
      </c>
      <c r="C25" s="140">
        <v>0</v>
      </c>
      <c r="D25" s="202">
        <v>0</v>
      </c>
      <c r="E25" s="141">
        <f t="shared" si="0"/>
        <v>0</v>
      </c>
      <c r="F25" s="110">
        <v>0</v>
      </c>
      <c r="G25" s="141">
        <f t="shared" si="1"/>
        <v>0</v>
      </c>
      <c r="H25" s="154">
        <f t="shared" si="2"/>
        <v>0</v>
      </c>
      <c r="I25" s="110">
        <v>0</v>
      </c>
      <c r="J25" s="141">
        <f t="shared" si="3"/>
        <v>0</v>
      </c>
      <c r="K25" s="110">
        <v>0</v>
      </c>
      <c r="L25" s="110">
        <v>0</v>
      </c>
      <c r="M25" s="155">
        <f t="shared" si="4"/>
        <v>0</v>
      </c>
      <c r="N25" s="156">
        <f t="shared" si="5"/>
        <v>0</v>
      </c>
      <c r="O25" s="17"/>
    </row>
    <row r="26" spans="1:15">
      <c r="A26" s="139" t="s">
        <v>19</v>
      </c>
      <c r="B26" s="110">
        <v>0</v>
      </c>
      <c r="C26" s="140">
        <v>0</v>
      </c>
      <c r="D26" s="202">
        <v>0</v>
      </c>
      <c r="E26" s="141">
        <f t="shared" si="0"/>
        <v>0</v>
      </c>
      <c r="F26" s="110">
        <v>0</v>
      </c>
      <c r="G26" s="141">
        <f t="shared" si="1"/>
        <v>0</v>
      </c>
      <c r="H26" s="154">
        <f t="shared" si="2"/>
        <v>0</v>
      </c>
      <c r="I26" s="110">
        <v>0</v>
      </c>
      <c r="J26" s="141">
        <f t="shared" si="3"/>
        <v>0</v>
      </c>
      <c r="K26" s="110">
        <v>0</v>
      </c>
      <c r="L26" s="110">
        <v>0</v>
      </c>
      <c r="M26" s="155">
        <f t="shared" si="4"/>
        <v>0</v>
      </c>
      <c r="N26" s="156">
        <f t="shared" si="5"/>
        <v>0</v>
      </c>
      <c r="O26" s="17"/>
    </row>
    <row r="27" spans="1:15">
      <c r="A27" s="139" t="s">
        <v>20</v>
      </c>
      <c r="B27" s="110">
        <v>0</v>
      </c>
      <c r="C27" s="140">
        <v>0</v>
      </c>
      <c r="D27" s="202">
        <v>0</v>
      </c>
      <c r="E27" s="141">
        <f t="shared" si="0"/>
        <v>0</v>
      </c>
      <c r="F27" s="110">
        <v>0</v>
      </c>
      <c r="G27" s="141">
        <f t="shared" si="1"/>
        <v>0</v>
      </c>
      <c r="H27" s="154">
        <f t="shared" si="2"/>
        <v>0</v>
      </c>
      <c r="I27" s="110">
        <v>0</v>
      </c>
      <c r="J27" s="141">
        <f t="shared" si="3"/>
        <v>0</v>
      </c>
      <c r="K27" s="110">
        <v>0</v>
      </c>
      <c r="L27" s="110">
        <v>0</v>
      </c>
      <c r="M27" s="155">
        <f t="shared" si="4"/>
        <v>0</v>
      </c>
      <c r="N27" s="156">
        <f t="shared" si="5"/>
        <v>0</v>
      </c>
      <c r="O27" s="17"/>
    </row>
    <row r="28" spans="1:15" ht="15.75" thickBot="1">
      <c r="A28" s="139" t="s">
        <v>21</v>
      </c>
      <c r="B28" s="157">
        <f>SUM(B16:B27)</f>
        <v>21898</v>
      </c>
      <c r="C28" s="157">
        <f>SUM(C16:C27)</f>
        <v>0</v>
      </c>
      <c r="D28" s="157">
        <f>SUM(D16:D27)</f>
        <v>2740</v>
      </c>
      <c r="E28" s="157">
        <f>SUM(E16:E27)</f>
        <v>19158</v>
      </c>
      <c r="F28" s="157">
        <f>SUM(F16:F27)</f>
        <v>0</v>
      </c>
      <c r="G28" s="157">
        <f t="shared" si="1"/>
        <v>10777.019999999999</v>
      </c>
      <c r="H28" s="157">
        <f>SUM(H16:H27)</f>
        <v>4737.8100000000004</v>
      </c>
      <c r="I28" s="157">
        <f>SUM(I16:I27)</f>
        <v>0</v>
      </c>
      <c r="J28" s="157">
        <f t="shared" si="3"/>
        <v>0</v>
      </c>
      <c r="K28" s="157">
        <f>SUM(K16:K27)</f>
        <v>3643.17</v>
      </c>
      <c r="L28" s="157">
        <f>SUM(L16:L27)</f>
        <v>4737.8100000000004</v>
      </c>
      <c r="M28" s="158">
        <f>SUM(M16:M27)</f>
        <v>8380.98</v>
      </c>
      <c r="N28" s="159">
        <f t="shared" si="5"/>
        <v>0.84299999999999997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6">ROUND(+E28/$K$9,2)</f>
        <v>1.93</v>
      </c>
      <c r="F29" s="160">
        <f t="shared" si="6"/>
        <v>0</v>
      </c>
      <c r="G29" s="160">
        <f t="shared" si="6"/>
        <v>1.08</v>
      </c>
      <c r="H29" s="160">
        <f t="shared" si="6"/>
        <v>0.48</v>
      </c>
      <c r="I29" s="160">
        <f t="shared" si="6"/>
        <v>0</v>
      </c>
      <c r="J29" s="160">
        <f t="shared" si="6"/>
        <v>0</v>
      </c>
      <c r="K29" s="160">
        <f t="shared" si="6"/>
        <v>0.37</v>
      </c>
      <c r="L29" s="160">
        <f t="shared" si="6"/>
        <v>0.48</v>
      </c>
      <c r="M29" s="161">
        <f t="shared" si="6"/>
        <v>0.84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7">E28/$E$28*100</f>
        <v>100</v>
      </c>
      <c r="F30" s="144">
        <f t="shared" si="7"/>
        <v>0</v>
      </c>
      <c r="G30" s="144">
        <f t="shared" si="7"/>
        <v>56.253366739743186</v>
      </c>
      <c r="H30" s="144">
        <f t="shared" si="7"/>
        <v>24.730191042906359</v>
      </c>
      <c r="I30" s="144">
        <f t="shared" si="7"/>
        <v>0</v>
      </c>
      <c r="J30" s="144">
        <f t="shared" si="7"/>
        <v>0</v>
      </c>
      <c r="K30" s="144">
        <f t="shared" si="7"/>
        <v>19.016442217350455</v>
      </c>
      <c r="L30" s="144">
        <f t="shared" si="7"/>
        <v>24.730191042906359</v>
      </c>
      <c r="M30" s="164">
        <f t="shared" si="7"/>
        <v>43.746633260256814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  <c r="O31" s="1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"/>
      <c r="N32" s="1"/>
      <c r="O32" s="1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"/>
      <c r="N33" s="1"/>
      <c r="O33" s="1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"/>
      <c r="N34" s="1"/>
      <c r="O34" s="1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"/>
      <c r="N35" s="1"/>
      <c r="O35" s="1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8"/>
  <sheetViews>
    <sheetView showOutlineSymbols="0" topLeftCell="A4" zoomScale="87" zoomScaleNormal="87" workbookViewId="0">
      <selection activeCell="E16" sqref="E16:E27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4" t="s">
        <v>86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3249</v>
      </c>
      <c r="L9" s="84"/>
      <c r="M9" s="93" t="s">
        <v>77</v>
      </c>
      <c r="N9" s="125">
        <v>2022</v>
      </c>
    </row>
    <row r="10" spans="1:15" ht="18.75" thickBot="1">
      <c r="A10" s="83" t="s">
        <v>6</v>
      </c>
      <c r="B10" s="175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4"/>
      <c r="B15" s="114" t="s">
        <v>32</v>
      </c>
      <c r="C15" s="114" t="s">
        <v>40</v>
      </c>
      <c r="D15" s="114" t="s">
        <v>32</v>
      </c>
      <c r="E15" s="114"/>
      <c r="F15" s="114" t="s">
        <v>55</v>
      </c>
      <c r="G15" s="114" t="s">
        <v>60</v>
      </c>
      <c r="H15" s="114" t="s">
        <v>62</v>
      </c>
      <c r="I15" s="115"/>
      <c r="J15" s="114"/>
      <c r="K15" s="114" t="s">
        <v>74</v>
      </c>
      <c r="L15" s="114" t="s">
        <v>76</v>
      </c>
      <c r="M15" s="116" t="s">
        <v>21</v>
      </c>
      <c r="N15" s="117" t="s">
        <v>81</v>
      </c>
      <c r="O15" s="85"/>
    </row>
    <row r="16" spans="1:15">
      <c r="A16" s="139" t="s">
        <v>9</v>
      </c>
      <c r="B16" s="110">
        <v>0</v>
      </c>
      <c r="C16" s="214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54">
        <f t="shared" ref="H16:H27" si="2">L16</f>
        <v>0</v>
      </c>
      <c r="I16" s="110">
        <v>0</v>
      </c>
      <c r="J16" s="141">
        <f t="shared" ref="J16:J28" si="3">H16-I16-L16</f>
        <v>0</v>
      </c>
      <c r="K16" s="110">
        <v>0</v>
      </c>
      <c r="L16" s="110">
        <v>0</v>
      </c>
      <c r="M16" s="155">
        <f t="shared" ref="M16:M27" si="4">SUM(K16:L16)</f>
        <v>0</v>
      </c>
      <c r="N16" s="156">
        <f t="shared" ref="N16:N28" si="5">ROUND(+M16/$K$9,3)</f>
        <v>0</v>
      </c>
      <c r="O16" s="17"/>
    </row>
    <row r="17" spans="1:15">
      <c r="A17" s="139" t="s">
        <v>10</v>
      </c>
      <c r="B17" s="110">
        <v>0</v>
      </c>
      <c r="C17" s="214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54">
        <f t="shared" si="2"/>
        <v>0</v>
      </c>
      <c r="I17" s="110">
        <v>0</v>
      </c>
      <c r="J17" s="141">
        <f t="shared" si="3"/>
        <v>0</v>
      </c>
      <c r="K17" s="110">
        <v>0</v>
      </c>
      <c r="L17" s="110">
        <v>0</v>
      </c>
      <c r="M17" s="155">
        <f t="shared" si="4"/>
        <v>0</v>
      </c>
      <c r="N17" s="156">
        <f t="shared" si="5"/>
        <v>0</v>
      </c>
      <c r="O17" s="17"/>
    </row>
    <row r="18" spans="1:15">
      <c r="A18" s="139" t="s">
        <v>11</v>
      </c>
      <c r="B18" s="110">
        <v>0</v>
      </c>
      <c r="C18" s="214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54">
        <f t="shared" si="2"/>
        <v>0</v>
      </c>
      <c r="I18" s="110">
        <v>0</v>
      </c>
      <c r="J18" s="141">
        <f t="shared" si="3"/>
        <v>0</v>
      </c>
      <c r="K18" s="110">
        <v>0</v>
      </c>
      <c r="L18" s="110">
        <v>0</v>
      </c>
      <c r="M18" s="155">
        <f t="shared" si="4"/>
        <v>0</v>
      </c>
      <c r="N18" s="156">
        <f t="shared" si="5"/>
        <v>0</v>
      </c>
      <c r="O18" s="17"/>
    </row>
    <row r="19" spans="1:15">
      <c r="A19" s="139" t="s">
        <v>12</v>
      </c>
      <c r="B19" s="110">
        <v>811</v>
      </c>
      <c r="C19" s="214">
        <v>0</v>
      </c>
      <c r="D19" s="140">
        <v>0</v>
      </c>
      <c r="E19" s="141">
        <f t="shared" si="0"/>
        <v>811</v>
      </c>
      <c r="F19" s="110">
        <v>129.5</v>
      </c>
      <c r="G19" s="141">
        <f t="shared" si="1"/>
        <v>672.02</v>
      </c>
      <c r="H19" s="154">
        <f t="shared" si="2"/>
        <v>6.91</v>
      </c>
      <c r="I19" s="110">
        <v>0</v>
      </c>
      <c r="J19" s="141">
        <f t="shared" si="3"/>
        <v>0</v>
      </c>
      <c r="K19" s="110">
        <v>2.57</v>
      </c>
      <c r="L19" s="110">
        <v>6.91</v>
      </c>
      <c r="M19" s="155">
        <f t="shared" si="4"/>
        <v>9.48</v>
      </c>
      <c r="N19" s="156">
        <f t="shared" si="5"/>
        <v>3.0000000000000001E-3</v>
      </c>
      <c r="O19" s="17"/>
    </row>
    <row r="20" spans="1:15">
      <c r="A20" s="139" t="s">
        <v>13</v>
      </c>
      <c r="B20" s="110">
        <v>1270</v>
      </c>
      <c r="C20" s="214">
        <v>90</v>
      </c>
      <c r="D20" s="140">
        <v>0</v>
      </c>
      <c r="E20" s="141">
        <f t="shared" si="0"/>
        <v>1360</v>
      </c>
      <c r="F20" s="110">
        <v>106.5</v>
      </c>
      <c r="G20" s="141">
        <f t="shared" si="1"/>
        <v>1166.73</v>
      </c>
      <c r="H20" s="154">
        <f t="shared" si="2"/>
        <v>47.69</v>
      </c>
      <c r="I20" s="110">
        <v>0</v>
      </c>
      <c r="J20" s="141">
        <f t="shared" si="3"/>
        <v>0</v>
      </c>
      <c r="K20" s="110">
        <v>39.08</v>
      </c>
      <c r="L20" s="110">
        <v>47.69</v>
      </c>
      <c r="M20" s="155">
        <f t="shared" si="4"/>
        <v>86.77</v>
      </c>
      <c r="N20" s="156">
        <f t="shared" si="5"/>
        <v>2.7E-2</v>
      </c>
      <c r="O20" s="17"/>
    </row>
    <row r="21" spans="1:15">
      <c r="A21" s="139" t="s">
        <v>14</v>
      </c>
      <c r="B21" s="110">
        <v>902</v>
      </c>
      <c r="C21" s="214">
        <v>167</v>
      </c>
      <c r="D21" s="140">
        <v>0</v>
      </c>
      <c r="E21" s="141">
        <f t="shared" si="0"/>
        <v>1069</v>
      </c>
      <c r="F21" s="110">
        <v>116.9</v>
      </c>
      <c r="G21" s="141">
        <f t="shared" si="1"/>
        <v>669.6400000000001</v>
      </c>
      <c r="H21" s="154">
        <f t="shared" si="2"/>
        <v>155.78</v>
      </c>
      <c r="I21" s="110">
        <v>0</v>
      </c>
      <c r="J21" s="141">
        <f t="shared" si="3"/>
        <v>0</v>
      </c>
      <c r="K21" s="110">
        <v>126.68</v>
      </c>
      <c r="L21" s="110">
        <v>155.78</v>
      </c>
      <c r="M21" s="155">
        <f t="shared" si="4"/>
        <v>282.46000000000004</v>
      </c>
      <c r="N21" s="156">
        <f t="shared" si="5"/>
        <v>8.6999999999999994E-2</v>
      </c>
      <c r="O21" s="17"/>
    </row>
    <row r="22" spans="1:15">
      <c r="A22" s="139" t="s">
        <v>15</v>
      </c>
      <c r="B22" s="110">
        <v>1028</v>
      </c>
      <c r="C22" s="214">
        <v>585</v>
      </c>
      <c r="D22" s="140">
        <v>0</v>
      </c>
      <c r="E22" s="141">
        <f t="shared" si="0"/>
        <v>1613</v>
      </c>
      <c r="F22" s="110">
        <v>1.3</v>
      </c>
      <c r="G22" s="141">
        <f t="shared" si="1"/>
        <v>704.71</v>
      </c>
      <c r="H22" s="154">
        <f>L22</f>
        <v>455.28</v>
      </c>
      <c r="I22" s="110">
        <v>0</v>
      </c>
      <c r="J22" s="141">
        <f t="shared" si="3"/>
        <v>0</v>
      </c>
      <c r="K22" s="110">
        <v>451.71</v>
      </c>
      <c r="L22" s="110">
        <v>455.28</v>
      </c>
      <c r="M22" s="155">
        <f t="shared" si="4"/>
        <v>906.99</v>
      </c>
      <c r="N22" s="156">
        <f t="shared" si="5"/>
        <v>0.27900000000000003</v>
      </c>
      <c r="O22" s="17"/>
    </row>
    <row r="23" spans="1:15">
      <c r="A23" s="139" t="s">
        <v>16</v>
      </c>
      <c r="B23" s="110">
        <v>893</v>
      </c>
      <c r="C23" s="214">
        <v>853</v>
      </c>
      <c r="D23" s="140">
        <v>0</v>
      </c>
      <c r="E23" s="141">
        <f t="shared" si="0"/>
        <v>1746</v>
      </c>
      <c r="F23" s="110">
        <v>0.6</v>
      </c>
      <c r="G23" s="141">
        <f t="shared" si="1"/>
        <v>295.95000000000016</v>
      </c>
      <c r="H23" s="154">
        <f t="shared" si="2"/>
        <v>713.06</v>
      </c>
      <c r="I23" s="110">
        <v>0</v>
      </c>
      <c r="J23" s="141">
        <f t="shared" si="3"/>
        <v>0</v>
      </c>
      <c r="K23" s="110">
        <v>736.39</v>
      </c>
      <c r="L23" s="110">
        <v>713.06</v>
      </c>
      <c r="M23" s="155">
        <f t="shared" si="4"/>
        <v>1449.4499999999998</v>
      </c>
      <c r="N23" s="156">
        <f t="shared" si="5"/>
        <v>0.44600000000000001</v>
      </c>
      <c r="O23" s="17"/>
    </row>
    <row r="24" spans="1:15">
      <c r="A24" s="139" t="s">
        <v>17</v>
      </c>
      <c r="B24" s="110">
        <v>0</v>
      </c>
      <c r="C24" s="214">
        <v>41</v>
      </c>
      <c r="D24" s="140">
        <v>0</v>
      </c>
      <c r="E24" s="141">
        <f t="shared" si="0"/>
        <v>41</v>
      </c>
      <c r="F24" s="216">
        <v>0</v>
      </c>
      <c r="G24" s="141">
        <f t="shared" si="1"/>
        <v>41</v>
      </c>
      <c r="H24" s="154">
        <f t="shared" si="2"/>
        <v>0</v>
      </c>
      <c r="I24" s="110">
        <v>0</v>
      </c>
      <c r="J24" s="141">
        <f t="shared" si="3"/>
        <v>0</v>
      </c>
      <c r="K24" s="110">
        <v>0</v>
      </c>
      <c r="L24" s="110">
        <v>0</v>
      </c>
      <c r="M24" s="155">
        <f t="shared" si="4"/>
        <v>0</v>
      </c>
      <c r="N24" s="156">
        <f t="shared" si="5"/>
        <v>0</v>
      </c>
      <c r="O24" s="17"/>
    </row>
    <row r="25" spans="1:15">
      <c r="A25" s="139" t="s">
        <v>18</v>
      </c>
      <c r="B25" s="110">
        <v>0</v>
      </c>
      <c r="C25" s="214">
        <v>0</v>
      </c>
      <c r="D25" s="140">
        <v>0</v>
      </c>
      <c r="E25" s="141">
        <f t="shared" si="0"/>
        <v>0</v>
      </c>
      <c r="F25" s="110">
        <v>0</v>
      </c>
      <c r="G25" s="141">
        <f t="shared" si="1"/>
        <v>0</v>
      </c>
      <c r="H25" s="154">
        <f t="shared" si="2"/>
        <v>0</v>
      </c>
      <c r="I25" s="110">
        <v>0</v>
      </c>
      <c r="J25" s="141">
        <f t="shared" si="3"/>
        <v>0</v>
      </c>
      <c r="K25" s="110">
        <v>0</v>
      </c>
      <c r="L25" s="110">
        <v>0</v>
      </c>
      <c r="M25" s="155">
        <f t="shared" si="4"/>
        <v>0</v>
      </c>
      <c r="N25" s="156">
        <f t="shared" si="5"/>
        <v>0</v>
      </c>
      <c r="O25" s="17"/>
    </row>
    <row r="26" spans="1:15">
      <c r="A26" s="139" t="s">
        <v>19</v>
      </c>
      <c r="B26" s="110">
        <v>0</v>
      </c>
      <c r="C26" s="214">
        <v>0</v>
      </c>
      <c r="D26" s="140">
        <v>0</v>
      </c>
      <c r="E26" s="141">
        <f t="shared" si="0"/>
        <v>0</v>
      </c>
      <c r="F26" s="110">
        <v>0</v>
      </c>
      <c r="G26" s="141">
        <f t="shared" si="1"/>
        <v>0</v>
      </c>
      <c r="H26" s="154">
        <f t="shared" si="2"/>
        <v>0</v>
      </c>
      <c r="I26" s="110">
        <v>0</v>
      </c>
      <c r="J26" s="141">
        <f t="shared" si="3"/>
        <v>0</v>
      </c>
      <c r="K26" s="110">
        <v>0</v>
      </c>
      <c r="L26" s="110">
        <v>0</v>
      </c>
      <c r="M26" s="155">
        <f t="shared" si="4"/>
        <v>0</v>
      </c>
      <c r="N26" s="156">
        <f t="shared" si="5"/>
        <v>0</v>
      </c>
      <c r="O26" s="17"/>
    </row>
    <row r="27" spans="1:15">
      <c r="A27" s="139" t="s">
        <v>20</v>
      </c>
      <c r="B27" s="110">
        <v>0</v>
      </c>
      <c r="C27" s="214">
        <v>0</v>
      </c>
      <c r="D27" s="140">
        <v>0</v>
      </c>
      <c r="E27" s="141">
        <f t="shared" si="0"/>
        <v>0</v>
      </c>
      <c r="F27" s="110">
        <v>0</v>
      </c>
      <c r="G27" s="141">
        <f t="shared" si="1"/>
        <v>0</v>
      </c>
      <c r="H27" s="154">
        <f t="shared" si="2"/>
        <v>0</v>
      </c>
      <c r="I27" s="110">
        <v>0</v>
      </c>
      <c r="J27" s="141">
        <f t="shared" si="3"/>
        <v>0</v>
      </c>
      <c r="K27" s="110">
        <v>0</v>
      </c>
      <c r="L27" s="110">
        <v>0</v>
      </c>
      <c r="M27" s="155">
        <f t="shared" si="4"/>
        <v>0</v>
      </c>
      <c r="N27" s="156">
        <f t="shared" si="5"/>
        <v>0</v>
      </c>
      <c r="O27" s="17"/>
    </row>
    <row r="28" spans="1:15" ht="15.75" thickBot="1">
      <c r="A28" s="139" t="s">
        <v>21</v>
      </c>
      <c r="B28" s="157">
        <f>SUM(B16:B27)</f>
        <v>4904</v>
      </c>
      <c r="C28" s="157">
        <f>SUM(C16:C27)</f>
        <v>1736</v>
      </c>
      <c r="D28" s="157">
        <f>SUM(D16:D27)</f>
        <v>0</v>
      </c>
      <c r="E28" s="157">
        <f>SUM(E16:E27)</f>
        <v>6640</v>
      </c>
      <c r="F28" s="157">
        <f>SUM(F16:F27)</f>
        <v>354.8</v>
      </c>
      <c r="G28" s="157">
        <f t="shared" si="1"/>
        <v>3550.0499999999997</v>
      </c>
      <c r="H28" s="157">
        <f>SUM(H16:H27)</f>
        <v>1378.7199999999998</v>
      </c>
      <c r="I28" s="157">
        <f>SUM(I16:I27)</f>
        <v>0</v>
      </c>
      <c r="J28" s="157">
        <f t="shared" si="3"/>
        <v>0</v>
      </c>
      <c r="K28" s="157">
        <f>SUM(K16:K27)</f>
        <v>1356.4299999999998</v>
      </c>
      <c r="L28" s="157">
        <f>SUM(L16:L27)</f>
        <v>1378.7199999999998</v>
      </c>
      <c r="M28" s="158">
        <f>SUM(M16:M27)</f>
        <v>2735.1499999999996</v>
      </c>
      <c r="N28" s="159">
        <f t="shared" si="5"/>
        <v>0.84199999999999997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6">ROUND(+E28/$K$9,2)</f>
        <v>2.04</v>
      </c>
      <c r="F29" s="160">
        <f t="shared" si="6"/>
        <v>0.11</v>
      </c>
      <c r="G29" s="160">
        <f t="shared" si="6"/>
        <v>1.0900000000000001</v>
      </c>
      <c r="H29" s="160">
        <f t="shared" si="6"/>
        <v>0.42</v>
      </c>
      <c r="I29" s="160">
        <f t="shared" si="6"/>
        <v>0</v>
      </c>
      <c r="J29" s="160">
        <f t="shared" si="6"/>
        <v>0</v>
      </c>
      <c r="K29" s="160">
        <f t="shared" si="6"/>
        <v>0.42</v>
      </c>
      <c r="L29" s="160">
        <f t="shared" si="6"/>
        <v>0.42</v>
      </c>
      <c r="M29" s="161">
        <f t="shared" si="6"/>
        <v>0.84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7">E28/$E$28*100</f>
        <v>100</v>
      </c>
      <c r="F30" s="144">
        <f t="shared" si="7"/>
        <v>5.3433734939759034</v>
      </c>
      <c r="G30" s="144">
        <f t="shared" si="7"/>
        <v>53.464608433734938</v>
      </c>
      <c r="H30" s="144">
        <f t="shared" si="7"/>
        <v>20.763855421686745</v>
      </c>
      <c r="I30" s="144">
        <f t="shared" si="7"/>
        <v>0</v>
      </c>
      <c r="J30" s="144">
        <f t="shared" si="7"/>
        <v>0</v>
      </c>
      <c r="K30" s="144">
        <f t="shared" si="7"/>
        <v>20.428162650602406</v>
      </c>
      <c r="L30" s="144">
        <f t="shared" si="7"/>
        <v>20.763855421686745</v>
      </c>
      <c r="M30" s="164">
        <f t="shared" si="7"/>
        <v>41.192018072289152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  <c r="O31" s="1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"/>
      <c r="N32" s="1"/>
      <c r="O32" s="1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"/>
      <c r="N33" s="1"/>
      <c r="O33" s="1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"/>
      <c r="N34" s="1"/>
      <c r="O34" s="1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"/>
      <c r="N35" s="1"/>
      <c r="O35" s="1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"/>
      <c r="N37" s="1"/>
      <c r="O37" s="1"/>
    </row>
    <row r="38" spans="1:15" ht="25.5">
      <c r="B38" s="194"/>
      <c r="C38" s="193"/>
      <c r="D38" s="193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9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74" t="s">
        <v>178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2">
        <v>2629</v>
      </c>
      <c r="L9" s="84"/>
      <c r="M9" s="93" t="s">
        <v>77</v>
      </c>
      <c r="N9" s="125">
        <v>2022</v>
      </c>
    </row>
    <row r="10" spans="1:15" ht="18">
      <c r="A10" s="83" t="s">
        <v>6</v>
      </c>
      <c r="B10" s="84" t="s">
        <v>179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4"/>
      <c r="B15" s="114" t="s">
        <v>32</v>
      </c>
      <c r="C15" s="114" t="s">
        <v>40</v>
      </c>
      <c r="D15" s="114" t="s">
        <v>32</v>
      </c>
      <c r="E15" s="114"/>
      <c r="F15" s="114" t="s">
        <v>55</v>
      </c>
      <c r="G15" s="114" t="s">
        <v>60</v>
      </c>
      <c r="H15" s="114" t="s">
        <v>62</v>
      </c>
      <c r="I15" s="115"/>
      <c r="J15" s="114"/>
      <c r="K15" s="114" t="s">
        <v>74</v>
      </c>
      <c r="L15" s="114" t="s">
        <v>76</v>
      </c>
      <c r="M15" s="116" t="s">
        <v>21</v>
      </c>
      <c r="N15" s="117" t="s">
        <v>81</v>
      </c>
      <c r="O15" s="85"/>
    </row>
    <row r="16" spans="1:15">
      <c r="A16" s="139" t="s">
        <v>9</v>
      </c>
      <c r="B16" s="110">
        <v>0</v>
      </c>
      <c r="C16" s="140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54">
        <f t="shared" ref="H16:H27" si="2">L16</f>
        <v>0</v>
      </c>
      <c r="I16" s="110">
        <v>0</v>
      </c>
      <c r="J16" s="141">
        <f t="shared" ref="J16:J28" si="3">H16-I16-L16</f>
        <v>0</v>
      </c>
      <c r="K16" s="110">
        <v>0</v>
      </c>
      <c r="L16" s="110">
        <v>0</v>
      </c>
      <c r="M16" s="155">
        <f t="shared" ref="M16:M27" si="4">SUM(K16:L16)</f>
        <v>0</v>
      </c>
      <c r="N16" s="156">
        <f t="shared" ref="N16:N28" si="5">ROUND(+M16/$K$9,3)</f>
        <v>0</v>
      </c>
      <c r="O16" s="17"/>
    </row>
    <row r="17" spans="1:15">
      <c r="A17" s="139" t="s">
        <v>10</v>
      </c>
      <c r="B17" s="110">
        <v>0</v>
      </c>
      <c r="C17" s="140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54">
        <f t="shared" si="2"/>
        <v>0</v>
      </c>
      <c r="I17" s="110">
        <v>0</v>
      </c>
      <c r="J17" s="141">
        <f t="shared" si="3"/>
        <v>0</v>
      </c>
      <c r="K17" s="110">
        <v>0</v>
      </c>
      <c r="L17" s="110">
        <v>0</v>
      </c>
      <c r="M17" s="155">
        <f t="shared" si="4"/>
        <v>0</v>
      </c>
      <c r="N17" s="156">
        <f t="shared" si="5"/>
        <v>0</v>
      </c>
      <c r="O17" s="17"/>
    </row>
    <row r="18" spans="1:15">
      <c r="A18" s="139" t="s">
        <v>11</v>
      </c>
      <c r="B18" s="110">
        <v>0</v>
      </c>
      <c r="C18" s="140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54">
        <f t="shared" si="2"/>
        <v>0</v>
      </c>
      <c r="I18" s="110">
        <v>0</v>
      </c>
      <c r="J18" s="141">
        <f t="shared" si="3"/>
        <v>0</v>
      </c>
      <c r="K18" s="110">
        <v>0</v>
      </c>
      <c r="L18" s="110">
        <v>0</v>
      </c>
      <c r="M18" s="155">
        <f t="shared" si="4"/>
        <v>0</v>
      </c>
      <c r="N18" s="156">
        <f t="shared" si="5"/>
        <v>0</v>
      </c>
      <c r="O18" s="17"/>
    </row>
    <row r="19" spans="1:15">
      <c r="A19" s="139" t="s">
        <v>12</v>
      </c>
      <c r="B19" s="110">
        <v>0</v>
      </c>
      <c r="C19" s="140">
        <v>0</v>
      </c>
      <c r="D19" s="140">
        <v>0</v>
      </c>
      <c r="E19" s="141">
        <f t="shared" si="0"/>
        <v>0</v>
      </c>
      <c r="F19" s="110">
        <v>0</v>
      </c>
      <c r="G19" s="141">
        <f t="shared" si="1"/>
        <v>0</v>
      </c>
      <c r="H19" s="154">
        <f t="shared" si="2"/>
        <v>0</v>
      </c>
      <c r="I19" s="110">
        <v>0</v>
      </c>
      <c r="J19" s="141">
        <f t="shared" si="3"/>
        <v>0</v>
      </c>
      <c r="K19" s="110">
        <v>0</v>
      </c>
      <c r="L19" s="110">
        <v>0</v>
      </c>
      <c r="M19" s="155">
        <f t="shared" si="4"/>
        <v>0</v>
      </c>
      <c r="N19" s="156">
        <f t="shared" si="5"/>
        <v>0</v>
      </c>
      <c r="O19" s="17"/>
    </row>
    <row r="20" spans="1:15">
      <c r="A20" s="139" t="s">
        <v>13</v>
      </c>
      <c r="B20" s="110">
        <v>0</v>
      </c>
      <c r="C20" s="140">
        <v>0</v>
      </c>
      <c r="D20" s="140">
        <v>0</v>
      </c>
      <c r="E20" s="141">
        <f t="shared" si="0"/>
        <v>0</v>
      </c>
      <c r="F20" s="110">
        <v>0</v>
      </c>
      <c r="G20" s="141">
        <f t="shared" si="1"/>
        <v>0</v>
      </c>
      <c r="H20" s="154">
        <f t="shared" si="2"/>
        <v>0</v>
      </c>
      <c r="I20" s="110">
        <v>0</v>
      </c>
      <c r="J20" s="141">
        <f t="shared" si="3"/>
        <v>0</v>
      </c>
      <c r="K20" s="110">
        <v>0</v>
      </c>
      <c r="L20" s="110">
        <v>0</v>
      </c>
      <c r="M20" s="155">
        <f t="shared" si="4"/>
        <v>0</v>
      </c>
      <c r="N20" s="156">
        <f t="shared" si="5"/>
        <v>0</v>
      </c>
      <c r="O20" s="17"/>
    </row>
    <row r="21" spans="1:15">
      <c r="A21" s="139" t="s">
        <v>14</v>
      </c>
      <c r="B21" s="110">
        <v>815</v>
      </c>
      <c r="C21" s="140">
        <v>0</v>
      </c>
      <c r="D21" s="140">
        <v>0</v>
      </c>
      <c r="E21" s="141">
        <f t="shared" si="0"/>
        <v>815</v>
      </c>
      <c r="F21" s="110">
        <v>51</v>
      </c>
      <c r="G21" s="141">
        <f t="shared" si="1"/>
        <v>559.6400000000001</v>
      </c>
      <c r="H21" s="154">
        <f t="shared" si="2"/>
        <v>33.549999999999997</v>
      </c>
      <c r="I21" s="110">
        <v>0</v>
      </c>
      <c r="J21" s="141">
        <f t="shared" si="3"/>
        <v>0</v>
      </c>
      <c r="K21" s="110">
        <v>170.81</v>
      </c>
      <c r="L21" s="110">
        <v>33.549999999999997</v>
      </c>
      <c r="M21" s="155">
        <f t="shared" si="4"/>
        <v>204.36</v>
      </c>
      <c r="N21" s="156">
        <f t="shared" si="5"/>
        <v>7.8E-2</v>
      </c>
      <c r="O21" s="17"/>
    </row>
    <row r="22" spans="1:15">
      <c r="A22" s="139" t="s">
        <v>15</v>
      </c>
      <c r="B22" s="110">
        <v>2566</v>
      </c>
      <c r="C22" s="140">
        <v>0</v>
      </c>
      <c r="D22" s="140">
        <v>0</v>
      </c>
      <c r="E22" s="141">
        <f t="shared" si="0"/>
        <v>2566</v>
      </c>
      <c r="F22" s="110">
        <v>145</v>
      </c>
      <c r="G22" s="141">
        <f t="shared" si="1"/>
        <v>1708.1200000000001</v>
      </c>
      <c r="H22" s="154">
        <f t="shared" si="2"/>
        <v>111.16</v>
      </c>
      <c r="I22" s="110">
        <v>0</v>
      </c>
      <c r="J22" s="141">
        <f t="shared" si="3"/>
        <v>0</v>
      </c>
      <c r="K22" s="110">
        <v>601.72</v>
      </c>
      <c r="L22" s="110">
        <v>111.16</v>
      </c>
      <c r="M22" s="155">
        <f t="shared" si="4"/>
        <v>712.88</v>
      </c>
      <c r="N22" s="156">
        <f t="shared" si="5"/>
        <v>0.27100000000000002</v>
      </c>
      <c r="O22" s="17"/>
    </row>
    <row r="23" spans="1:15">
      <c r="A23" s="139" t="s">
        <v>16</v>
      </c>
      <c r="B23" s="110">
        <v>2046</v>
      </c>
      <c r="C23" s="140">
        <v>0</v>
      </c>
      <c r="D23" s="140">
        <v>0</v>
      </c>
      <c r="E23" s="141">
        <f t="shared" si="0"/>
        <v>2046</v>
      </c>
      <c r="F23" s="110">
        <v>193</v>
      </c>
      <c r="G23" s="141">
        <f t="shared" si="1"/>
        <v>1075.43</v>
      </c>
      <c r="H23" s="154">
        <f t="shared" si="2"/>
        <v>172.34</v>
      </c>
      <c r="I23" s="110">
        <v>0</v>
      </c>
      <c r="J23" s="141">
        <f t="shared" si="3"/>
        <v>0</v>
      </c>
      <c r="K23" s="110">
        <v>605.23</v>
      </c>
      <c r="L23" s="110">
        <v>172.34</v>
      </c>
      <c r="M23" s="155">
        <f t="shared" si="4"/>
        <v>777.57</v>
      </c>
      <c r="N23" s="156">
        <f t="shared" si="5"/>
        <v>0.29599999999999999</v>
      </c>
      <c r="O23" s="17"/>
    </row>
    <row r="24" spans="1:15">
      <c r="A24" s="139" t="s">
        <v>17</v>
      </c>
      <c r="B24" s="110">
        <v>24</v>
      </c>
      <c r="C24" s="140">
        <v>0</v>
      </c>
      <c r="D24" s="140">
        <v>0</v>
      </c>
      <c r="E24" s="141">
        <f t="shared" si="0"/>
        <v>24</v>
      </c>
      <c r="F24" s="110">
        <v>0</v>
      </c>
      <c r="G24" s="141">
        <f t="shared" si="1"/>
        <v>19.84</v>
      </c>
      <c r="H24" s="154">
        <f t="shared" si="2"/>
        <v>0</v>
      </c>
      <c r="I24" s="110">
        <v>0</v>
      </c>
      <c r="J24" s="141">
        <f t="shared" si="3"/>
        <v>0</v>
      </c>
      <c r="K24" s="110">
        <v>4.16</v>
      </c>
      <c r="L24" s="110">
        <v>0</v>
      </c>
      <c r="M24" s="155">
        <f t="shared" si="4"/>
        <v>4.16</v>
      </c>
      <c r="N24" s="156">
        <f t="shared" si="5"/>
        <v>2E-3</v>
      </c>
      <c r="O24" s="17"/>
    </row>
    <row r="25" spans="1:15">
      <c r="A25" s="139" t="s">
        <v>18</v>
      </c>
      <c r="B25" s="110">
        <v>0</v>
      </c>
      <c r="C25" s="140">
        <v>0</v>
      </c>
      <c r="D25" s="140">
        <v>0</v>
      </c>
      <c r="E25" s="141">
        <f t="shared" si="0"/>
        <v>0</v>
      </c>
      <c r="F25" s="110">
        <v>0</v>
      </c>
      <c r="G25" s="141">
        <f t="shared" si="1"/>
        <v>0</v>
      </c>
      <c r="H25" s="154">
        <f t="shared" si="2"/>
        <v>0</v>
      </c>
      <c r="I25" s="110">
        <v>0</v>
      </c>
      <c r="J25" s="141">
        <f t="shared" si="3"/>
        <v>0</v>
      </c>
      <c r="K25" s="110">
        <v>0</v>
      </c>
      <c r="L25" s="110">
        <v>0</v>
      </c>
      <c r="M25" s="155">
        <f t="shared" si="4"/>
        <v>0</v>
      </c>
      <c r="N25" s="156">
        <f t="shared" si="5"/>
        <v>0</v>
      </c>
      <c r="O25" s="17"/>
    </row>
    <row r="26" spans="1:15">
      <c r="A26" s="139" t="s">
        <v>19</v>
      </c>
      <c r="B26" s="110">
        <v>0</v>
      </c>
      <c r="C26" s="140">
        <v>0</v>
      </c>
      <c r="D26" s="140">
        <v>0</v>
      </c>
      <c r="E26" s="141">
        <f t="shared" si="0"/>
        <v>0</v>
      </c>
      <c r="F26" s="110">
        <v>0</v>
      </c>
      <c r="G26" s="141">
        <f t="shared" si="1"/>
        <v>0</v>
      </c>
      <c r="H26" s="154">
        <f t="shared" si="2"/>
        <v>0</v>
      </c>
      <c r="I26" s="110">
        <v>0</v>
      </c>
      <c r="J26" s="141">
        <f t="shared" si="3"/>
        <v>0</v>
      </c>
      <c r="K26" s="110">
        <v>0</v>
      </c>
      <c r="L26" s="110">
        <v>0</v>
      </c>
      <c r="M26" s="155">
        <f t="shared" si="4"/>
        <v>0</v>
      </c>
      <c r="N26" s="156">
        <f t="shared" si="5"/>
        <v>0</v>
      </c>
      <c r="O26" s="17"/>
    </row>
    <row r="27" spans="1:15">
      <c r="A27" s="139" t="s">
        <v>20</v>
      </c>
      <c r="B27" s="110">
        <v>0</v>
      </c>
      <c r="C27" s="140">
        <v>0</v>
      </c>
      <c r="D27" s="140">
        <v>0</v>
      </c>
      <c r="E27" s="141">
        <f t="shared" si="0"/>
        <v>0</v>
      </c>
      <c r="F27" s="110">
        <v>0</v>
      </c>
      <c r="G27" s="141">
        <f t="shared" si="1"/>
        <v>0</v>
      </c>
      <c r="H27" s="154">
        <f t="shared" si="2"/>
        <v>0</v>
      </c>
      <c r="I27" s="110">
        <v>0</v>
      </c>
      <c r="J27" s="141">
        <f t="shared" si="3"/>
        <v>0</v>
      </c>
      <c r="K27" s="110">
        <v>0</v>
      </c>
      <c r="L27" s="110">
        <v>0</v>
      </c>
      <c r="M27" s="155">
        <f t="shared" si="4"/>
        <v>0</v>
      </c>
      <c r="N27" s="156">
        <f t="shared" si="5"/>
        <v>0</v>
      </c>
      <c r="O27" s="17"/>
    </row>
    <row r="28" spans="1:15" ht="15.75" thickBot="1">
      <c r="A28" s="139" t="s">
        <v>21</v>
      </c>
      <c r="B28" s="157">
        <f>SUM(B16:B27)</f>
        <v>5451</v>
      </c>
      <c r="C28" s="157">
        <f>SUM(C16:C27)</f>
        <v>0</v>
      </c>
      <c r="D28" s="157">
        <f>SUM(D16:D27)</f>
        <v>0</v>
      </c>
      <c r="E28" s="157">
        <f>SUM(E16:E27)</f>
        <v>5451</v>
      </c>
      <c r="F28" s="157">
        <f>SUM(F16:F27)</f>
        <v>389</v>
      </c>
      <c r="G28" s="157">
        <f t="shared" si="1"/>
        <v>3363.0299999999997</v>
      </c>
      <c r="H28" s="157">
        <f>SUM(H16:H27)</f>
        <v>317.04999999999995</v>
      </c>
      <c r="I28" s="157">
        <f>SUM(I16:I27)</f>
        <v>0</v>
      </c>
      <c r="J28" s="157">
        <f t="shared" si="3"/>
        <v>0</v>
      </c>
      <c r="K28" s="157">
        <f>SUM(K16:K27)</f>
        <v>1381.92</v>
      </c>
      <c r="L28" s="157">
        <f>SUM(L16:L27)</f>
        <v>317.04999999999995</v>
      </c>
      <c r="M28" s="158">
        <f>SUM(M16:M27)</f>
        <v>1698.97</v>
      </c>
      <c r="N28" s="159">
        <f t="shared" si="5"/>
        <v>0.64600000000000002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6">ROUND(+E28/$K$9,2)</f>
        <v>2.0699999999999998</v>
      </c>
      <c r="F29" s="160">
        <f t="shared" si="6"/>
        <v>0.15</v>
      </c>
      <c r="G29" s="160">
        <f t="shared" si="6"/>
        <v>1.28</v>
      </c>
      <c r="H29" s="160">
        <f t="shared" si="6"/>
        <v>0.12</v>
      </c>
      <c r="I29" s="160">
        <f t="shared" si="6"/>
        <v>0</v>
      </c>
      <c r="J29" s="160">
        <f t="shared" si="6"/>
        <v>0</v>
      </c>
      <c r="K29" s="160">
        <f t="shared" si="6"/>
        <v>0.53</v>
      </c>
      <c r="L29" s="160">
        <f t="shared" si="6"/>
        <v>0.12</v>
      </c>
      <c r="M29" s="161">
        <f t="shared" si="6"/>
        <v>0.65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7">E28/$E$28*100</f>
        <v>100</v>
      </c>
      <c r="F30" s="144">
        <f t="shared" si="7"/>
        <v>7.136305265088974</v>
      </c>
      <c r="G30" s="144">
        <f t="shared" si="7"/>
        <v>61.695652173913039</v>
      </c>
      <c r="H30" s="144">
        <f t="shared" si="7"/>
        <v>5.8163639699137768</v>
      </c>
      <c r="I30" s="144">
        <f t="shared" si="7"/>
        <v>0</v>
      </c>
      <c r="J30" s="144">
        <f t="shared" si="7"/>
        <v>0</v>
      </c>
      <c r="K30" s="144">
        <f t="shared" si="7"/>
        <v>25.351678591084202</v>
      </c>
      <c r="L30" s="144">
        <f t="shared" si="7"/>
        <v>5.8163639699137768</v>
      </c>
      <c r="M30" s="164">
        <f t="shared" si="7"/>
        <v>31.168042560997982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  <c r="O31" s="1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"/>
      <c r="N32" s="1"/>
      <c r="O32" s="1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"/>
      <c r="N33" s="1"/>
      <c r="O33" s="1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"/>
      <c r="N34" s="1"/>
      <c r="O34" s="1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"/>
      <c r="N35" s="1"/>
      <c r="O35" s="1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  <c r="M37" s="1"/>
      <c r="N37" s="1"/>
      <c r="O37" s="1"/>
    </row>
    <row r="39" spans="1:15" ht="30"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8"/>
  <sheetViews>
    <sheetView showOutlineSymbols="0" zoomScale="87" zoomScaleNormal="87" workbookViewId="0">
      <selection activeCell="M16" sqref="M16:M27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 t="s">
        <v>0</v>
      </c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7"/>
      <c r="N7" s="7"/>
    </row>
    <row r="8" spans="1:15" ht="18">
      <c r="A8" s="8" t="s">
        <v>4</v>
      </c>
      <c r="B8" s="134" t="s">
        <v>94</v>
      </c>
      <c r="C8" s="134"/>
      <c r="D8" s="134"/>
      <c r="E8" s="134"/>
      <c r="F8" s="134"/>
      <c r="G8" s="8" t="s">
        <v>56</v>
      </c>
      <c r="H8" s="134"/>
      <c r="I8" s="134" t="s">
        <v>88</v>
      </c>
      <c r="J8" s="134"/>
      <c r="K8" s="134"/>
      <c r="L8" s="134"/>
      <c r="M8" s="152"/>
      <c r="N8" s="152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08">
        <v>16220</v>
      </c>
      <c r="L9" s="136"/>
      <c r="M9" s="13" t="s">
        <v>77</v>
      </c>
      <c r="N9" s="109">
        <v>2022</v>
      </c>
    </row>
    <row r="10" spans="1:15" ht="18.75" thickBot="1">
      <c r="A10" s="10" t="s">
        <v>6</v>
      </c>
      <c r="B10" s="136" t="s">
        <v>87</v>
      </c>
      <c r="C10" s="136"/>
      <c r="D10" s="136"/>
      <c r="E10" s="136"/>
      <c r="F10" s="136"/>
      <c r="G10" s="10" t="s">
        <v>58</v>
      </c>
      <c r="H10" s="136"/>
      <c r="I10" s="136"/>
      <c r="J10" s="136"/>
      <c r="K10" s="136"/>
      <c r="L10" s="136"/>
      <c r="M10" s="14"/>
      <c r="N10" s="14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53" t="s">
        <v>78</v>
      </c>
      <c r="N11" s="153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95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8"/>
      <c r="B13" s="23" t="s">
        <v>30</v>
      </c>
      <c r="C13" s="23" t="s">
        <v>30</v>
      </c>
      <c r="D13" s="23" t="s">
        <v>96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97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98</v>
      </c>
      <c r="E15" s="23"/>
      <c r="F15" s="23" t="s">
        <v>55</v>
      </c>
      <c r="G15" s="23" t="s">
        <v>60</v>
      </c>
      <c r="H15" s="23" t="s">
        <v>62</v>
      </c>
      <c r="I15" s="138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39" t="s">
        <v>9</v>
      </c>
      <c r="B16" s="110">
        <v>0</v>
      </c>
      <c r="C16" s="140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54">
        <f t="shared" ref="H16:H27" si="2">L16</f>
        <v>0</v>
      </c>
      <c r="I16" s="110">
        <v>0</v>
      </c>
      <c r="J16" s="141">
        <f t="shared" ref="J16:J28" si="3">H16-I16-L16</f>
        <v>0</v>
      </c>
      <c r="K16" s="110">
        <v>0</v>
      </c>
      <c r="L16" s="110">
        <v>0</v>
      </c>
      <c r="M16" s="155">
        <f t="shared" ref="M16:M27" si="4">SUM(K16:L16)</f>
        <v>0</v>
      </c>
      <c r="N16" s="156">
        <f t="shared" ref="N16:N28" si="5">ROUND(+M16/$K$9,3)</f>
        <v>0</v>
      </c>
      <c r="O16" s="17"/>
    </row>
    <row r="17" spans="1:15">
      <c r="A17" s="139" t="s">
        <v>10</v>
      </c>
      <c r="B17" s="110">
        <v>0</v>
      </c>
      <c r="C17" s="140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54">
        <f t="shared" si="2"/>
        <v>0</v>
      </c>
      <c r="I17" s="110">
        <v>0</v>
      </c>
      <c r="J17" s="141">
        <f t="shared" si="3"/>
        <v>0</v>
      </c>
      <c r="K17" s="110">
        <v>0</v>
      </c>
      <c r="L17" s="110">
        <v>0</v>
      </c>
      <c r="M17" s="155">
        <f t="shared" si="4"/>
        <v>0</v>
      </c>
      <c r="N17" s="156">
        <f t="shared" si="5"/>
        <v>0</v>
      </c>
      <c r="O17" s="17"/>
    </row>
    <row r="18" spans="1:15">
      <c r="A18" s="139" t="s">
        <v>11</v>
      </c>
      <c r="B18" s="110">
        <v>0</v>
      </c>
      <c r="C18" s="140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54">
        <f t="shared" si="2"/>
        <v>0</v>
      </c>
      <c r="I18" s="110">
        <v>0</v>
      </c>
      <c r="J18" s="141">
        <f t="shared" si="3"/>
        <v>0</v>
      </c>
      <c r="K18" s="110">
        <v>0</v>
      </c>
      <c r="L18" s="110">
        <v>0</v>
      </c>
      <c r="M18" s="155">
        <f t="shared" si="4"/>
        <v>0</v>
      </c>
      <c r="N18" s="156">
        <f t="shared" si="5"/>
        <v>0</v>
      </c>
      <c r="O18" s="17"/>
    </row>
    <row r="19" spans="1:15">
      <c r="A19" s="139" t="s">
        <v>12</v>
      </c>
      <c r="B19" s="110">
        <v>1073</v>
      </c>
      <c r="C19" s="140">
        <v>0</v>
      </c>
      <c r="D19" s="140">
        <v>0</v>
      </c>
      <c r="E19" s="141">
        <f t="shared" si="0"/>
        <v>1073</v>
      </c>
      <c r="F19" s="110">
        <v>307.89999999999998</v>
      </c>
      <c r="G19" s="141">
        <f t="shared" si="1"/>
        <v>624.83000000000004</v>
      </c>
      <c r="H19" s="154">
        <f t="shared" si="2"/>
        <v>38.409999999999997</v>
      </c>
      <c r="I19" s="110">
        <v>0</v>
      </c>
      <c r="J19" s="141">
        <f t="shared" si="3"/>
        <v>0</v>
      </c>
      <c r="K19" s="110">
        <v>101.86</v>
      </c>
      <c r="L19" s="110">
        <v>38.409999999999997</v>
      </c>
      <c r="M19" s="155">
        <f t="shared" si="4"/>
        <v>140.26999999999998</v>
      </c>
      <c r="N19" s="156">
        <f t="shared" si="5"/>
        <v>8.9999999999999993E-3</v>
      </c>
      <c r="O19" s="17"/>
    </row>
    <row r="20" spans="1:15">
      <c r="A20" s="139" t="s">
        <v>13</v>
      </c>
      <c r="B20" s="110">
        <v>2973</v>
      </c>
      <c r="C20" s="140">
        <v>0</v>
      </c>
      <c r="D20" s="140">
        <v>0</v>
      </c>
      <c r="E20" s="141">
        <f t="shared" si="0"/>
        <v>2973</v>
      </c>
      <c r="F20" s="110">
        <v>245.9</v>
      </c>
      <c r="G20" s="141">
        <f t="shared" si="1"/>
        <v>2635.2799999999997</v>
      </c>
      <c r="H20" s="154">
        <f>L20</f>
        <v>36.25</v>
      </c>
      <c r="I20" s="110">
        <v>0</v>
      </c>
      <c r="J20" s="141">
        <f t="shared" si="3"/>
        <v>0</v>
      </c>
      <c r="K20" s="110">
        <v>55.57</v>
      </c>
      <c r="L20" s="110">
        <v>36.25</v>
      </c>
      <c r="M20" s="155">
        <f t="shared" si="4"/>
        <v>91.82</v>
      </c>
      <c r="N20" s="156">
        <f t="shared" si="5"/>
        <v>6.0000000000000001E-3</v>
      </c>
      <c r="O20" s="17"/>
    </row>
    <row r="21" spans="1:15">
      <c r="A21" s="139" t="s">
        <v>14</v>
      </c>
      <c r="B21" s="110">
        <v>5394</v>
      </c>
      <c r="C21" s="140">
        <v>0</v>
      </c>
      <c r="D21" s="140">
        <v>0</v>
      </c>
      <c r="E21" s="141">
        <f t="shared" si="0"/>
        <v>5394</v>
      </c>
      <c r="F21" s="110">
        <v>80.2</v>
      </c>
      <c r="G21" s="141">
        <f t="shared" si="1"/>
        <v>3487.0499999999997</v>
      </c>
      <c r="H21" s="154">
        <f t="shared" si="2"/>
        <v>883.14</v>
      </c>
      <c r="I21" s="110">
        <v>0</v>
      </c>
      <c r="J21" s="141">
        <f t="shared" si="3"/>
        <v>0</v>
      </c>
      <c r="K21" s="110">
        <v>943.61</v>
      </c>
      <c r="L21" s="110">
        <v>883.14</v>
      </c>
      <c r="M21" s="155">
        <f t="shared" si="4"/>
        <v>1826.75</v>
      </c>
      <c r="N21" s="156">
        <f t="shared" si="5"/>
        <v>0.113</v>
      </c>
      <c r="O21" s="17"/>
    </row>
    <row r="22" spans="1:15">
      <c r="A22" s="139" t="s">
        <v>15</v>
      </c>
      <c r="B22" s="110">
        <v>7172</v>
      </c>
      <c r="C22" s="140">
        <v>0</v>
      </c>
      <c r="D22" s="140">
        <v>0</v>
      </c>
      <c r="E22" s="141">
        <f t="shared" si="0"/>
        <v>7172</v>
      </c>
      <c r="F22" s="110">
        <v>311.02999999999997</v>
      </c>
      <c r="G22" s="141">
        <f t="shared" si="1"/>
        <v>3037.3600000000006</v>
      </c>
      <c r="H22" s="154">
        <f t="shared" si="2"/>
        <v>1594.57</v>
      </c>
      <c r="I22" s="110">
        <v>0</v>
      </c>
      <c r="J22" s="141">
        <f t="shared" si="3"/>
        <v>0</v>
      </c>
      <c r="K22" s="110">
        <v>2229.04</v>
      </c>
      <c r="L22" s="110">
        <v>1594.57</v>
      </c>
      <c r="M22" s="155">
        <f t="shared" si="4"/>
        <v>3823.6099999999997</v>
      </c>
      <c r="N22" s="156">
        <f t="shared" si="5"/>
        <v>0.23599999999999999</v>
      </c>
      <c r="O22" s="17"/>
    </row>
    <row r="23" spans="1:15">
      <c r="A23" s="139" t="s">
        <v>16</v>
      </c>
      <c r="B23" s="110">
        <v>8285</v>
      </c>
      <c r="C23" s="140">
        <v>0</v>
      </c>
      <c r="D23" s="140">
        <v>0</v>
      </c>
      <c r="E23" s="141">
        <f t="shared" si="0"/>
        <v>8285</v>
      </c>
      <c r="F23" s="110">
        <v>141.49</v>
      </c>
      <c r="G23" s="141">
        <f t="shared" si="1"/>
        <v>2078.6600000000008</v>
      </c>
      <c r="H23" s="154">
        <f t="shared" si="2"/>
        <v>2548.06</v>
      </c>
      <c r="I23" s="110">
        <v>0</v>
      </c>
      <c r="J23" s="141">
        <f t="shared" si="3"/>
        <v>0</v>
      </c>
      <c r="K23" s="110">
        <v>3516.79</v>
      </c>
      <c r="L23" s="110">
        <v>2548.06</v>
      </c>
      <c r="M23" s="155">
        <f t="shared" si="4"/>
        <v>6064.85</v>
      </c>
      <c r="N23" s="156">
        <f t="shared" si="5"/>
        <v>0.374</v>
      </c>
      <c r="O23" s="17"/>
    </row>
    <row r="24" spans="1:15">
      <c r="A24" s="139" t="s">
        <v>17</v>
      </c>
      <c r="B24" s="110">
        <v>1976</v>
      </c>
      <c r="C24" s="140">
        <v>0</v>
      </c>
      <c r="D24" s="140">
        <v>0</v>
      </c>
      <c r="E24" s="141">
        <f t="shared" si="0"/>
        <v>1976</v>
      </c>
      <c r="F24" s="110">
        <v>101.64</v>
      </c>
      <c r="G24" s="141">
        <f t="shared" si="1"/>
        <v>1106.2799999999997</v>
      </c>
      <c r="H24" s="154">
        <f t="shared" si="2"/>
        <v>334.12</v>
      </c>
      <c r="I24" s="110">
        <v>0</v>
      </c>
      <c r="J24" s="141">
        <f t="shared" si="3"/>
        <v>0</v>
      </c>
      <c r="K24" s="110">
        <v>433.96</v>
      </c>
      <c r="L24" s="110">
        <v>334.12</v>
      </c>
      <c r="M24" s="155">
        <f t="shared" si="4"/>
        <v>768.07999999999993</v>
      </c>
      <c r="N24" s="156">
        <f t="shared" si="5"/>
        <v>4.7E-2</v>
      </c>
      <c r="O24" s="17"/>
    </row>
    <row r="25" spans="1:15">
      <c r="A25" s="139" t="s">
        <v>18</v>
      </c>
      <c r="B25" s="110">
        <v>0</v>
      </c>
      <c r="C25" s="140">
        <v>0</v>
      </c>
      <c r="D25" s="140">
        <v>0</v>
      </c>
      <c r="E25" s="141">
        <f t="shared" si="0"/>
        <v>0</v>
      </c>
      <c r="F25" s="110">
        <v>0</v>
      </c>
      <c r="G25" s="141">
        <f t="shared" si="1"/>
        <v>0</v>
      </c>
      <c r="H25" s="154">
        <f t="shared" si="2"/>
        <v>0</v>
      </c>
      <c r="I25" s="110">
        <v>0</v>
      </c>
      <c r="J25" s="141">
        <f t="shared" si="3"/>
        <v>0</v>
      </c>
      <c r="K25" s="110">
        <v>0</v>
      </c>
      <c r="L25" s="110">
        <v>0</v>
      </c>
      <c r="M25" s="155">
        <f t="shared" si="4"/>
        <v>0</v>
      </c>
      <c r="N25" s="156">
        <f t="shared" si="5"/>
        <v>0</v>
      </c>
      <c r="O25" s="17"/>
    </row>
    <row r="26" spans="1:15">
      <c r="A26" s="139" t="s">
        <v>19</v>
      </c>
      <c r="B26" s="110">
        <v>0</v>
      </c>
      <c r="C26" s="140">
        <v>0</v>
      </c>
      <c r="D26" s="140">
        <v>0</v>
      </c>
      <c r="E26" s="141">
        <f t="shared" si="0"/>
        <v>0</v>
      </c>
      <c r="F26" s="110">
        <v>0</v>
      </c>
      <c r="G26" s="141">
        <f t="shared" si="1"/>
        <v>0</v>
      </c>
      <c r="H26" s="154">
        <f t="shared" si="2"/>
        <v>0</v>
      </c>
      <c r="I26" s="110">
        <v>0</v>
      </c>
      <c r="J26" s="141">
        <f t="shared" si="3"/>
        <v>0</v>
      </c>
      <c r="K26" s="110">
        <v>0</v>
      </c>
      <c r="L26" s="110">
        <v>0</v>
      </c>
      <c r="M26" s="155">
        <f t="shared" si="4"/>
        <v>0</v>
      </c>
      <c r="N26" s="156">
        <f t="shared" si="5"/>
        <v>0</v>
      </c>
      <c r="O26" s="17"/>
    </row>
    <row r="27" spans="1:15">
      <c r="A27" s="139" t="s">
        <v>20</v>
      </c>
      <c r="B27" s="110">
        <v>0</v>
      </c>
      <c r="C27" s="140">
        <v>0</v>
      </c>
      <c r="D27" s="140">
        <v>0</v>
      </c>
      <c r="E27" s="141">
        <f t="shared" si="0"/>
        <v>0</v>
      </c>
      <c r="F27" s="110">
        <v>0</v>
      </c>
      <c r="G27" s="141">
        <f t="shared" si="1"/>
        <v>0</v>
      </c>
      <c r="H27" s="154">
        <f t="shared" si="2"/>
        <v>0</v>
      </c>
      <c r="I27" s="110">
        <v>0</v>
      </c>
      <c r="J27" s="141">
        <f t="shared" si="3"/>
        <v>0</v>
      </c>
      <c r="K27" s="110">
        <v>0</v>
      </c>
      <c r="L27" s="110">
        <v>0</v>
      </c>
      <c r="M27" s="155">
        <f t="shared" si="4"/>
        <v>0</v>
      </c>
      <c r="N27" s="156">
        <f t="shared" si="5"/>
        <v>0</v>
      </c>
      <c r="O27" s="17"/>
    </row>
    <row r="28" spans="1:15" ht="15.75" thickBot="1">
      <c r="A28" s="139" t="s">
        <v>21</v>
      </c>
      <c r="B28" s="157">
        <f>SUM(B16:B27)</f>
        <v>26873</v>
      </c>
      <c r="C28" s="157">
        <f>SUM(C16:C27)</f>
        <v>0</v>
      </c>
      <c r="D28" s="157">
        <f>SUM(D16:D27)</f>
        <v>0</v>
      </c>
      <c r="E28" s="157">
        <f>SUM(E16:E27)</f>
        <v>26873</v>
      </c>
      <c r="F28" s="157">
        <f>SUM(F16:F27)</f>
        <v>1188.1600000000001</v>
      </c>
      <c r="G28" s="157">
        <f t="shared" si="1"/>
        <v>12969.460000000001</v>
      </c>
      <c r="H28" s="157">
        <f>SUM(H16:H27)</f>
        <v>5434.55</v>
      </c>
      <c r="I28" s="157">
        <f>SUM(I16:I27)</f>
        <v>0</v>
      </c>
      <c r="J28" s="157">
        <f t="shared" si="3"/>
        <v>0</v>
      </c>
      <c r="K28" s="157">
        <f>SUM(K16:K27)</f>
        <v>7280.83</v>
      </c>
      <c r="L28" s="157">
        <f>SUM(L16:L27)</f>
        <v>5434.55</v>
      </c>
      <c r="M28" s="158">
        <f>SUM(M16:M27)</f>
        <v>12715.38</v>
      </c>
      <c r="N28" s="159">
        <f t="shared" si="5"/>
        <v>0.78400000000000003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6">ROUND(+E28/$K$9,2)</f>
        <v>1.66</v>
      </c>
      <c r="F29" s="160">
        <f t="shared" si="6"/>
        <v>7.0000000000000007E-2</v>
      </c>
      <c r="G29" s="160">
        <f t="shared" si="6"/>
        <v>0.8</v>
      </c>
      <c r="H29" s="160">
        <f t="shared" si="6"/>
        <v>0.34</v>
      </c>
      <c r="I29" s="160">
        <f t="shared" si="6"/>
        <v>0</v>
      </c>
      <c r="J29" s="160">
        <f t="shared" si="6"/>
        <v>0</v>
      </c>
      <c r="K29" s="160">
        <f t="shared" si="6"/>
        <v>0.45</v>
      </c>
      <c r="L29" s="160">
        <f t="shared" si="6"/>
        <v>0.34</v>
      </c>
      <c r="M29" s="161">
        <f t="shared" si="6"/>
        <v>0.78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7">E28/$E$28*100</f>
        <v>100</v>
      </c>
      <c r="F30" s="144">
        <f t="shared" si="7"/>
        <v>4.4213894987533964</v>
      </c>
      <c r="G30" s="144">
        <f t="shared" si="7"/>
        <v>48.262047408179214</v>
      </c>
      <c r="H30" s="144">
        <f t="shared" si="7"/>
        <v>20.223086369218173</v>
      </c>
      <c r="I30" s="144">
        <f t="shared" si="7"/>
        <v>0</v>
      </c>
      <c r="J30" s="144">
        <f t="shared" si="7"/>
        <v>0</v>
      </c>
      <c r="K30" s="144">
        <f t="shared" si="7"/>
        <v>27.093476723849218</v>
      </c>
      <c r="L30" s="144">
        <f t="shared" si="7"/>
        <v>20.223086369218173</v>
      </c>
      <c r="M30" s="164">
        <f t="shared" si="7"/>
        <v>47.316563093067387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</row>
    <row r="38" spans="1:15">
      <c r="A38" s="134"/>
      <c r="B38" s="135"/>
      <c r="C38" s="135" t="s">
        <v>0</v>
      </c>
      <c r="D38" s="135" t="s">
        <v>0</v>
      </c>
      <c r="E38" s="149" t="s">
        <v>0</v>
      </c>
      <c r="F38" s="135"/>
      <c r="G38" s="135"/>
      <c r="H38" s="135"/>
      <c r="I38" s="135"/>
      <c r="J38" s="135"/>
      <c r="K38" s="135"/>
      <c r="L38" s="135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showOutlineSymbols="0" topLeftCell="A4" zoomScale="87" zoomScaleNormal="87" workbookViewId="0">
      <selection activeCell="V20" sqref="V20"/>
    </sheetView>
  </sheetViews>
  <sheetFormatPr defaultColWidth="9.6640625" defaultRowHeight="15"/>
  <cols>
    <col min="1" max="1" width="15.6640625" style="1" customWidth="1"/>
    <col min="2" max="2" width="7.6640625" style="1" customWidth="1"/>
    <col min="3" max="3" width="6.88671875" style="1" customWidth="1"/>
    <col min="4" max="4" width="8.554687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34" t="s">
        <v>0</v>
      </c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5" ht="15.75">
      <c r="A2" s="4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5" ht="18">
      <c r="A3" s="4" t="s">
        <v>2</v>
      </c>
      <c r="B3" s="135"/>
      <c r="C3" s="135"/>
      <c r="D3" s="135"/>
      <c r="E3" s="135"/>
      <c r="F3" s="5" t="s">
        <v>49</v>
      </c>
      <c r="G3" s="135"/>
      <c r="H3" s="135"/>
      <c r="I3" s="135"/>
      <c r="J3" s="135"/>
      <c r="K3" s="135"/>
      <c r="L3" s="135"/>
      <c r="M3" s="1" t="s">
        <v>0</v>
      </c>
    </row>
    <row r="4" spans="1:15" ht="18">
      <c r="A4" s="4" t="s">
        <v>3</v>
      </c>
      <c r="B4" s="135"/>
      <c r="C4" s="135"/>
      <c r="D4" s="135"/>
      <c r="E4" s="135"/>
      <c r="F4" s="5" t="s">
        <v>50</v>
      </c>
      <c r="G4" s="135"/>
      <c r="H4" s="135"/>
      <c r="I4" s="135"/>
      <c r="J4" s="135"/>
      <c r="K4" s="135"/>
      <c r="L4" s="135"/>
    </row>
    <row r="5" spans="1:15" ht="18">
      <c r="A5" s="135"/>
      <c r="B5" s="135"/>
      <c r="C5" s="135"/>
      <c r="D5" s="135"/>
      <c r="E5" s="135"/>
      <c r="F5" s="5" t="s">
        <v>51</v>
      </c>
      <c r="G5" s="135"/>
      <c r="H5" s="135"/>
      <c r="I5" s="135"/>
      <c r="J5" s="135"/>
      <c r="K5" s="135"/>
      <c r="L5" s="135"/>
    </row>
    <row r="6" spans="1:15" ht="30">
      <c r="A6" s="135"/>
      <c r="B6" s="135"/>
      <c r="C6" s="135"/>
      <c r="D6" s="6" t="s">
        <v>41</v>
      </c>
      <c r="E6" s="135"/>
      <c r="F6" s="135"/>
      <c r="G6" s="135"/>
      <c r="H6" s="135"/>
      <c r="I6" s="135"/>
      <c r="J6" s="135"/>
      <c r="K6" s="135"/>
      <c r="L6" s="135"/>
    </row>
    <row r="7" spans="1:1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7"/>
      <c r="N7" s="7"/>
    </row>
    <row r="8" spans="1:15" ht="18">
      <c r="A8" s="8" t="s">
        <v>4</v>
      </c>
      <c r="B8" s="134" t="s">
        <v>111</v>
      </c>
      <c r="C8" s="134"/>
      <c r="D8" s="134"/>
      <c r="E8" s="134"/>
      <c r="F8" s="134"/>
      <c r="G8" s="8" t="s">
        <v>56</v>
      </c>
      <c r="H8" s="134"/>
      <c r="I8" s="134" t="s">
        <v>88</v>
      </c>
      <c r="J8" s="134"/>
      <c r="K8" s="134"/>
      <c r="L8" s="134"/>
      <c r="M8" s="152"/>
      <c r="N8" s="152"/>
    </row>
    <row r="9" spans="1:15" ht="18">
      <c r="A9" s="10" t="s">
        <v>5</v>
      </c>
      <c r="B9" s="136" t="s">
        <v>26</v>
      </c>
      <c r="C9" s="136"/>
      <c r="D9" s="136"/>
      <c r="E9" s="136"/>
      <c r="F9" s="136"/>
      <c r="G9" s="10" t="s">
        <v>57</v>
      </c>
      <c r="H9" s="136"/>
      <c r="I9" s="136"/>
      <c r="J9" s="136"/>
      <c r="K9" s="108">
        <v>32044</v>
      </c>
      <c r="L9" s="136"/>
      <c r="M9" s="13" t="s">
        <v>77</v>
      </c>
      <c r="N9" s="109">
        <v>2022</v>
      </c>
    </row>
    <row r="10" spans="1:15" ht="18.75" thickBot="1">
      <c r="A10" s="10" t="s">
        <v>6</v>
      </c>
      <c r="B10" s="136" t="s">
        <v>112</v>
      </c>
      <c r="C10" s="136"/>
      <c r="D10" s="136"/>
      <c r="E10" s="136"/>
      <c r="F10" s="136"/>
      <c r="G10" s="10" t="s">
        <v>58</v>
      </c>
      <c r="H10" s="136"/>
      <c r="I10" s="136"/>
      <c r="J10" s="136"/>
      <c r="K10" s="136"/>
      <c r="L10" s="136"/>
      <c r="M10" s="14"/>
      <c r="N10" s="14"/>
    </row>
    <row r="11" spans="1:15" ht="16.5" thickTop="1" thickBot="1">
      <c r="A11" s="137" t="s">
        <v>7</v>
      </c>
      <c r="B11" s="137" t="s">
        <v>28</v>
      </c>
      <c r="C11" s="137" t="s">
        <v>37</v>
      </c>
      <c r="D11" s="137" t="s">
        <v>42</v>
      </c>
      <c r="E11" s="137" t="s">
        <v>46</v>
      </c>
      <c r="F11" s="137" t="s">
        <v>52</v>
      </c>
      <c r="G11" s="137" t="s">
        <v>59</v>
      </c>
      <c r="H11" s="137" t="s">
        <v>61</v>
      </c>
      <c r="I11" s="137" t="s">
        <v>64</v>
      </c>
      <c r="J11" s="137" t="s">
        <v>70</v>
      </c>
      <c r="K11" s="137" t="s">
        <v>71</v>
      </c>
      <c r="L11" s="137" t="s">
        <v>75</v>
      </c>
      <c r="M11" s="153" t="s">
        <v>78</v>
      </c>
      <c r="N11" s="153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187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8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190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189</v>
      </c>
      <c r="E15" s="23"/>
      <c r="F15" s="23" t="s">
        <v>55</v>
      </c>
      <c r="G15" s="23" t="s">
        <v>60</v>
      </c>
      <c r="H15" s="23" t="s">
        <v>62</v>
      </c>
      <c r="I15" s="138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39" t="s">
        <v>9</v>
      </c>
      <c r="B16" s="110">
        <f>camb!B16+'red wil'!B16+bartley!B16+'mk drift'!B16</f>
        <v>0</v>
      </c>
      <c r="C16" s="202">
        <f>bartley!C16</f>
        <v>0</v>
      </c>
      <c r="D16" s="202">
        <f>'mk drift'!D16</f>
        <v>0</v>
      </c>
      <c r="E16" s="141">
        <f t="shared" ref="E16:E27" si="0">B16+C16-D16</f>
        <v>0</v>
      </c>
      <c r="F16" s="110">
        <f>camb!F16+'red wil'!F16+bartley!F16+'mk drift'!F16</f>
        <v>0</v>
      </c>
      <c r="G16" s="141">
        <f t="shared" ref="G16:G28" si="1">E16-F16-H16-K16</f>
        <v>0</v>
      </c>
      <c r="H16" s="154">
        <f t="shared" ref="H16:H27" si="2">L16</f>
        <v>0</v>
      </c>
      <c r="I16" s="110">
        <f>camb!I16+'red wil'!I16+bartley!I16+'mk drift'!I16</f>
        <v>0</v>
      </c>
      <c r="J16" s="141">
        <f t="shared" ref="J16:J28" si="3">H16-I16-L16</f>
        <v>0</v>
      </c>
      <c r="K16" s="110">
        <f>camb!K16+'red wil'!K16+bartley!K16+'mk drift'!K16</f>
        <v>0</v>
      </c>
      <c r="L16" s="110">
        <f>camb!L16+'red wil'!L16+bartley!L16+'mk drift'!L16</f>
        <v>0</v>
      </c>
      <c r="M16" s="155">
        <f t="shared" ref="M16:M27" si="4">SUM(K16:L16)</f>
        <v>0</v>
      </c>
      <c r="N16" s="156">
        <f t="shared" ref="N16:N28" si="5">ROUND(+M16/$K$9,3)</f>
        <v>0</v>
      </c>
      <c r="O16" s="17"/>
    </row>
    <row r="17" spans="1:15">
      <c r="A17" s="139" t="s">
        <v>10</v>
      </c>
      <c r="B17" s="110">
        <f>camb!B17+'red wil'!B17+bartley!B17+'mk drift'!B17</f>
        <v>0</v>
      </c>
      <c r="C17" s="202">
        <f>bartley!C17</f>
        <v>0</v>
      </c>
      <c r="D17" s="202">
        <f>'mk drift'!D17</f>
        <v>0</v>
      </c>
      <c r="E17" s="141">
        <f t="shared" si="0"/>
        <v>0</v>
      </c>
      <c r="F17" s="110">
        <f>camb!F17+'red wil'!F17+bartley!F17+'mk drift'!F17</f>
        <v>0</v>
      </c>
      <c r="G17" s="141">
        <f t="shared" si="1"/>
        <v>0</v>
      </c>
      <c r="H17" s="154">
        <f t="shared" si="2"/>
        <v>0</v>
      </c>
      <c r="I17" s="110">
        <f>camb!I17+'red wil'!I17+bartley!I17+'mk drift'!I17</f>
        <v>0</v>
      </c>
      <c r="J17" s="141">
        <f t="shared" si="3"/>
        <v>0</v>
      </c>
      <c r="K17" s="110">
        <f>camb!K17+'red wil'!K17+bartley!K17+'mk drift'!K17</f>
        <v>0</v>
      </c>
      <c r="L17" s="110">
        <f>camb!L17+'red wil'!L17+bartley!L17+'mk drift'!L17</f>
        <v>0</v>
      </c>
      <c r="M17" s="155">
        <f t="shared" si="4"/>
        <v>0</v>
      </c>
      <c r="N17" s="156">
        <f t="shared" si="5"/>
        <v>0</v>
      </c>
      <c r="O17" s="17"/>
    </row>
    <row r="18" spans="1:15">
      <c r="A18" s="139" t="s">
        <v>11</v>
      </c>
      <c r="B18" s="110">
        <f>camb!B18+'red wil'!B18+bartley!B18+'mk drift'!B18</f>
        <v>0</v>
      </c>
      <c r="C18" s="202">
        <f>bartley!C18</f>
        <v>0</v>
      </c>
      <c r="D18" s="202">
        <f>'mk drift'!D18</f>
        <v>0</v>
      </c>
      <c r="E18" s="141">
        <f t="shared" si="0"/>
        <v>0</v>
      </c>
      <c r="F18" s="110">
        <f>camb!F18+'red wil'!F18+bartley!F18+'mk drift'!F18</f>
        <v>0</v>
      </c>
      <c r="G18" s="141">
        <f t="shared" si="1"/>
        <v>0</v>
      </c>
      <c r="H18" s="154">
        <f t="shared" si="2"/>
        <v>0</v>
      </c>
      <c r="I18" s="110">
        <f>camb!I18+'red wil'!I18+bartley!I18+'mk drift'!I18</f>
        <v>0</v>
      </c>
      <c r="J18" s="141">
        <f t="shared" si="3"/>
        <v>0</v>
      </c>
      <c r="K18" s="110">
        <f>camb!K18+'red wil'!K18+bartley!K18+'mk drift'!K18</f>
        <v>0</v>
      </c>
      <c r="L18" s="110">
        <f>camb!L18+'red wil'!L18+bartley!L18+'mk drift'!L18</f>
        <v>0</v>
      </c>
      <c r="M18" s="155">
        <f t="shared" si="4"/>
        <v>0</v>
      </c>
      <c r="N18" s="156">
        <f t="shared" si="5"/>
        <v>0</v>
      </c>
      <c r="O18" s="17"/>
    </row>
    <row r="19" spans="1:15">
      <c r="A19" s="139" t="s">
        <v>12</v>
      </c>
      <c r="B19" s="110">
        <f>camb!B19+'red wil'!B19+bartley!B19+'mk drift'!B19</f>
        <v>1884</v>
      </c>
      <c r="C19" s="202">
        <f>bartley!C19</f>
        <v>0</v>
      </c>
      <c r="D19" s="202">
        <f>'mk drift'!D19</f>
        <v>0</v>
      </c>
      <c r="E19" s="141">
        <f t="shared" si="0"/>
        <v>1884</v>
      </c>
      <c r="F19" s="110">
        <f>camb!F19+'red wil'!F19+bartley!F19+'mk drift'!F19</f>
        <v>437.4</v>
      </c>
      <c r="G19" s="141">
        <f t="shared" si="1"/>
        <v>1296.8499999999999</v>
      </c>
      <c r="H19" s="154">
        <f t="shared" si="2"/>
        <v>45.319999999999993</v>
      </c>
      <c r="I19" s="110">
        <f>camb!I19+'red wil'!I19+bartley!I19+'mk drift'!I19</f>
        <v>0</v>
      </c>
      <c r="J19" s="141">
        <f t="shared" si="3"/>
        <v>0</v>
      </c>
      <c r="K19" s="110">
        <f>camb!K19+'red wil'!K19+bartley!K19+'mk drift'!K19</f>
        <v>104.42999999999999</v>
      </c>
      <c r="L19" s="110">
        <f>camb!L19+'red wil'!L19+bartley!L19+'mk drift'!L19</f>
        <v>45.319999999999993</v>
      </c>
      <c r="M19" s="155">
        <f t="shared" si="4"/>
        <v>149.75</v>
      </c>
      <c r="N19" s="156">
        <f t="shared" si="5"/>
        <v>5.0000000000000001E-3</v>
      </c>
      <c r="O19" s="17"/>
    </row>
    <row r="20" spans="1:15">
      <c r="A20" s="139" t="s">
        <v>13</v>
      </c>
      <c r="B20" s="110">
        <f>camb!B20+'red wil'!B20+bartley!B20+'mk drift'!B20</f>
        <v>4243</v>
      </c>
      <c r="C20" s="202">
        <f>bartley!C20</f>
        <v>90</v>
      </c>
      <c r="D20" s="202">
        <f>'mk drift'!D20</f>
        <v>0</v>
      </c>
      <c r="E20" s="141">
        <f>B20+C20-D20</f>
        <v>4333</v>
      </c>
      <c r="F20" s="110">
        <f>camb!F20+'red wil'!F20+bartley!F20+'mk drift'!F20</f>
        <v>352.4</v>
      </c>
      <c r="G20" s="141">
        <f t="shared" si="1"/>
        <v>3802.0099999999998</v>
      </c>
      <c r="H20" s="154">
        <f t="shared" si="2"/>
        <v>83.94</v>
      </c>
      <c r="I20" s="110">
        <f>camb!I20+'red wil'!I20+bartley!I20+'mk drift'!I20</f>
        <v>0</v>
      </c>
      <c r="J20" s="141">
        <f t="shared" si="3"/>
        <v>0</v>
      </c>
      <c r="K20" s="110">
        <f>camb!K20+'red wil'!K20+bartley!K20+'mk drift'!K20</f>
        <v>94.65</v>
      </c>
      <c r="L20" s="110">
        <f>camb!L20+'red wil'!L20+bartley!L20+'mk drift'!L20</f>
        <v>83.94</v>
      </c>
      <c r="M20" s="155">
        <f t="shared" si="4"/>
        <v>178.59</v>
      </c>
      <c r="N20" s="156">
        <f t="shared" si="5"/>
        <v>6.0000000000000001E-3</v>
      </c>
      <c r="O20" s="17"/>
    </row>
    <row r="21" spans="1:15">
      <c r="A21" s="139" t="s">
        <v>14</v>
      </c>
      <c r="B21" s="110">
        <f>camb!B21+'red wil'!B21+bartley!B21+'mk drift'!B21</f>
        <v>11356</v>
      </c>
      <c r="C21" s="202">
        <f>bartley!C21</f>
        <v>167</v>
      </c>
      <c r="D21" s="202">
        <f>'mk drift'!D21</f>
        <v>348</v>
      </c>
      <c r="E21" s="141">
        <f t="shared" si="0"/>
        <v>11175</v>
      </c>
      <c r="F21" s="110">
        <f>camb!F21+'red wil'!F21+bartley!F21+'mk drift'!F21</f>
        <v>248.1</v>
      </c>
      <c r="G21" s="141">
        <f t="shared" si="1"/>
        <v>7487.1899999999987</v>
      </c>
      <c r="H21" s="154">
        <f t="shared" si="2"/>
        <v>1717.02</v>
      </c>
      <c r="I21" s="110">
        <f>camb!I21+'red wil'!I21+bartley!I21+'mk drift'!I21</f>
        <v>0</v>
      </c>
      <c r="J21" s="141">
        <f t="shared" si="3"/>
        <v>0</v>
      </c>
      <c r="K21" s="110">
        <f>camb!K21+'red wil'!K21+bartley!K21+'mk drift'!K21</f>
        <v>1722.69</v>
      </c>
      <c r="L21" s="110">
        <f>camb!L21+'red wil'!L21+bartley!L21+'mk drift'!L21</f>
        <v>1717.02</v>
      </c>
      <c r="M21" s="155">
        <f t="shared" si="4"/>
        <v>3439.71</v>
      </c>
      <c r="N21" s="156">
        <f t="shared" si="5"/>
        <v>0.107</v>
      </c>
      <c r="O21" s="17"/>
    </row>
    <row r="22" spans="1:15">
      <c r="A22" s="139" t="s">
        <v>15</v>
      </c>
      <c r="B22" s="110">
        <f>camb!B22+'red wil'!B22+bartley!B22+'mk drift'!B22</f>
        <v>20204</v>
      </c>
      <c r="C22" s="202">
        <f>bartley!C22</f>
        <v>585</v>
      </c>
      <c r="D22" s="202">
        <f>'mk drift'!D22</f>
        <v>1212</v>
      </c>
      <c r="E22" s="141">
        <f t="shared" si="0"/>
        <v>19577</v>
      </c>
      <c r="F22" s="110">
        <f>camb!F22+'red wil'!F22+bartley!F22+'mk drift'!F22</f>
        <v>457.33</v>
      </c>
      <c r="G22" s="141">
        <f t="shared" si="1"/>
        <v>10131.629999999997</v>
      </c>
      <c r="H22" s="154">
        <f t="shared" si="2"/>
        <v>4211.34</v>
      </c>
      <c r="I22" s="110">
        <f>camb!I22+'red wil'!I22+bartley!I22+'mk drift'!I22</f>
        <v>0</v>
      </c>
      <c r="J22" s="141">
        <f t="shared" si="3"/>
        <v>0</v>
      </c>
      <c r="K22" s="110">
        <f>camb!K22+'red wil'!K22+bartley!K22+'mk drift'!K22</f>
        <v>4776.7000000000007</v>
      </c>
      <c r="L22" s="110">
        <f>camb!L22+'red wil'!L22+bartley!L22+'mk drift'!L22</f>
        <v>4211.34</v>
      </c>
      <c r="M22" s="155">
        <f>SUM(K22:L22)</f>
        <v>8988.0400000000009</v>
      </c>
      <c r="N22" s="156">
        <f t="shared" si="5"/>
        <v>0.28000000000000003</v>
      </c>
      <c r="O22" s="17"/>
    </row>
    <row r="23" spans="1:15">
      <c r="A23" s="139" t="s">
        <v>16</v>
      </c>
      <c r="B23" s="110">
        <f>camb!B23+'red wil'!B23+bartley!B23+'mk drift'!B23</f>
        <v>19163</v>
      </c>
      <c r="C23" s="202">
        <f>bartley!C23</f>
        <v>853</v>
      </c>
      <c r="D23" s="202">
        <f>'mk drift'!D23</f>
        <v>1164</v>
      </c>
      <c r="E23" s="141">
        <f t="shared" si="0"/>
        <v>18852</v>
      </c>
      <c r="F23" s="110">
        <f>camb!F23+'red wil'!F23+bartley!F23+'mk drift'!F23</f>
        <v>335.09000000000003</v>
      </c>
      <c r="G23" s="141">
        <f t="shared" si="1"/>
        <v>6514.76</v>
      </c>
      <c r="H23" s="154">
        <f t="shared" si="2"/>
        <v>5476.39</v>
      </c>
      <c r="I23" s="110">
        <f>camb!I23+'red wil'!I23+bartley!I23+'mk drift'!I23</f>
        <v>0</v>
      </c>
      <c r="J23" s="141">
        <f t="shared" si="3"/>
        <v>0</v>
      </c>
      <c r="K23" s="110">
        <f>camb!K23+'red wil'!K23+bartley!K23+'mk drift'!K23</f>
        <v>6525.76</v>
      </c>
      <c r="L23" s="110">
        <f>camb!L23+'red wil'!L23+bartley!L23+'mk drift'!L23</f>
        <v>5476.39</v>
      </c>
      <c r="M23" s="155">
        <f t="shared" si="4"/>
        <v>12002.150000000001</v>
      </c>
      <c r="N23" s="156">
        <f t="shared" si="5"/>
        <v>0.375</v>
      </c>
      <c r="O23" s="17"/>
    </row>
    <row r="24" spans="1:15">
      <c r="A24" s="139" t="s">
        <v>17</v>
      </c>
      <c r="B24" s="110">
        <f>camb!B24+'red wil'!B24+bartley!B24+'mk drift'!B24</f>
        <v>2276</v>
      </c>
      <c r="C24" s="202">
        <f>bartley!C24</f>
        <v>41</v>
      </c>
      <c r="D24" s="202">
        <f>'mk drift'!D24</f>
        <v>16</v>
      </c>
      <c r="E24" s="141">
        <f t="shared" si="0"/>
        <v>2301</v>
      </c>
      <c r="F24" s="110">
        <f>camb!F24+'red wil'!F24+bartley!F24+'mk drift'!F24</f>
        <v>101.64</v>
      </c>
      <c r="G24" s="141">
        <f t="shared" si="1"/>
        <v>1427.1200000000003</v>
      </c>
      <c r="H24" s="154">
        <f t="shared" si="2"/>
        <v>334.12</v>
      </c>
      <c r="I24" s="110">
        <f>camb!I24+'red wil'!I24+bartley!I24+'mk drift'!I24</f>
        <v>0</v>
      </c>
      <c r="J24" s="141">
        <f t="shared" si="3"/>
        <v>0</v>
      </c>
      <c r="K24" s="110">
        <f>camb!K24+'red wil'!K24+bartley!K24+'mk drift'!K24</f>
        <v>438.12</v>
      </c>
      <c r="L24" s="110">
        <f>camb!L24+'red wil'!L24+bartley!L24+'mk drift'!L24</f>
        <v>334.12</v>
      </c>
      <c r="M24" s="155">
        <f t="shared" si="4"/>
        <v>772.24</v>
      </c>
      <c r="N24" s="156">
        <f t="shared" si="5"/>
        <v>2.4E-2</v>
      </c>
      <c r="O24" s="17"/>
    </row>
    <row r="25" spans="1:15">
      <c r="A25" s="139" t="s">
        <v>18</v>
      </c>
      <c r="B25" s="110">
        <f>camb!B25+'red wil'!B25+bartley!B25+'mk drift'!B25</f>
        <v>0</v>
      </c>
      <c r="C25" s="202">
        <f>bartley!C25</f>
        <v>0</v>
      </c>
      <c r="D25" s="202">
        <f>'mk drift'!D25</f>
        <v>0</v>
      </c>
      <c r="E25" s="141">
        <f t="shared" si="0"/>
        <v>0</v>
      </c>
      <c r="F25" s="110">
        <f>camb!F25+'red wil'!F25+bartley!F25+'mk drift'!F25</f>
        <v>0</v>
      </c>
      <c r="G25" s="141">
        <f t="shared" si="1"/>
        <v>0</v>
      </c>
      <c r="H25" s="154">
        <f t="shared" si="2"/>
        <v>0</v>
      </c>
      <c r="I25" s="110">
        <f>camb!I25+'red wil'!I25+bartley!I25+'mk drift'!I25</f>
        <v>0</v>
      </c>
      <c r="J25" s="141">
        <f t="shared" si="3"/>
        <v>0</v>
      </c>
      <c r="K25" s="110">
        <f>camb!K25+'red wil'!K25+bartley!K25+'mk drift'!K25</f>
        <v>0</v>
      </c>
      <c r="L25" s="110">
        <f>camb!L25+'red wil'!L25+bartley!L25+'mk drift'!L25</f>
        <v>0</v>
      </c>
      <c r="M25" s="155">
        <f t="shared" si="4"/>
        <v>0</v>
      </c>
      <c r="N25" s="156">
        <f t="shared" si="5"/>
        <v>0</v>
      </c>
      <c r="O25" s="17"/>
    </row>
    <row r="26" spans="1:15">
      <c r="A26" s="139" t="s">
        <v>19</v>
      </c>
      <c r="B26" s="110">
        <f>camb!B26+'red wil'!B26+bartley!B26+'mk drift'!B26</f>
        <v>0</v>
      </c>
      <c r="C26" s="202">
        <f>bartley!C26</f>
        <v>0</v>
      </c>
      <c r="D26" s="202">
        <f>'mk drift'!D26</f>
        <v>0</v>
      </c>
      <c r="E26" s="141">
        <f t="shared" si="0"/>
        <v>0</v>
      </c>
      <c r="F26" s="110">
        <f>camb!F26+'red wil'!F26+bartley!F26+'mk drift'!F26</f>
        <v>0</v>
      </c>
      <c r="G26" s="141">
        <f t="shared" si="1"/>
        <v>0</v>
      </c>
      <c r="H26" s="154">
        <f t="shared" si="2"/>
        <v>0</v>
      </c>
      <c r="I26" s="110">
        <f>camb!I26+'red wil'!I26+bartley!I26+'mk drift'!I26</f>
        <v>0</v>
      </c>
      <c r="J26" s="141">
        <f t="shared" si="3"/>
        <v>0</v>
      </c>
      <c r="K26" s="110">
        <f>camb!K26+'red wil'!K26+bartley!K26+'mk drift'!K26</f>
        <v>0</v>
      </c>
      <c r="L26" s="110">
        <f>camb!L26+'red wil'!L26+bartley!L26+'mk drift'!L26</f>
        <v>0</v>
      </c>
      <c r="M26" s="155">
        <f t="shared" si="4"/>
        <v>0</v>
      </c>
      <c r="N26" s="156">
        <f t="shared" si="5"/>
        <v>0</v>
      </c>
      <c r="O26" s="17"/>
    </row>
    <row r="27" spans="1:15">
      <c r="A27" s="139" t="s">
        <v>20</v>
      </c>
      <c r="B27" s="110">
        <f>camb!B27+'red wil'!B27+bartley!B27+'mk drift'!B27</f>
        <v>0</v>
      </c>
      <c r="C27" s="202">
        <f>bartley!C27</f>
        <v>0</v>
      </c>
      <c r="D27" s="202">
        <f>'mk drift'!D27</f>
        <v>0</v>
      </c>
      <c r="E27" s="141">
        <f t="shared" si="0"/>
        <v>0</v>
      </c>
      <c r="F27" s="110">
        <f>camb!F27+'red wil'!F27+bartley!F27+'mk drift'!F27</f>
        <v>0</v>
      </c>
      <c r="G27" s="141">
        <f t="shared" si="1"/>
        <v>0</v>
      </c>
      <c r="H27" s="154">
        <f t="shared" si="2"/>
        <v>0</v>
      </c>
      <c r="I27" s="110">
        <f>camb!I27+'red wil'!I27+bartley!I27+'mk drift'!I27</f>
        <v>0</v>
      </c>
      <c r="J27" s="141">
        <f t="shared" si="3"/>
        <v>0</v>
      </c>
      <c r="K27" s="110">
        <f>camb!K27+'red wil'!K27+bartley!K27+'mk drift'!K27</f>
        <v>0</v>
      </c>
      <c r="L27" s="110">
        <f>camb!L27+'red wil'!L27+bartley!L27+'mk drift'!L27</f>
        <v>0</v>
      </c>
      <c r="M27" s="155">
        <f t="shared" si="4"/>
        <v>0</v>
      </c>
      <c r="N27" s="156">
        <f t="shared" si="5"/>
        <v>0</v>
      </c>
      <c r="O27" s="17"/>
    </row>
    <row r="28" spans="1:15" ht="15.75" thickBot="1">
      <c r="A28" s="139" t="s">
        <v>21</v>
      </c>
      <c r="B28" s="157">
        <f>SUM(B16:B27)</f>
        <v>59126</v>
      </c>
      <c r="C28" s="157">
        <f>SUM(C16:C27)</f>
        <v>1736</v>
      </c>
      <c r="D28" s="157">
        <f>SUM(D16:D27)</f>
        <v>2740</v>
      </c>
      <c r="E28" s="157">
        <f>SUM(E16:E27)</f>
        <v>58122</v>
      </c>
      <c r="F28" s="157">
        <f>SUM(F16:F27)</f>
        <v>1931.9599999999998</v>
      </c>
      <c r="G28" s="157">
        <f t="shared" si="1"/>
        <v>30659.56</v>
      </c>
      <c r="H28" s="157">
        <f>SUM(H16:H27)</f>
        <v>11868.130000000001</v>
      </c>
      <c r="I28" s="157">
        <f>SUM(I16:I27)</f>
        <v>0</v>
      </c>
      <c r="J28" s="157">
        <f t="shared" si="3"/>
        <v>0</v>
      </c>
      <c r="K28" s="157">
        <f>SUM(K16:K27)</f>
        <v>13662.350000000002</v>
      </c>
      <c r="L28" s="157">
        <f>SUM(L16:L27)</f>
        <v>11868.130000000001</v>
      </c>
      <c r="M28" s="158">
        <f>SUM(M16:M27)</f>
        <v>25530.480000000003</v>
      </c>
      <c r="N28" s="159">
        <f t="shared" si="5"/>
        <v>0.79700000000000004</v>
      </c>
      <c r="O28" s="17"/>
    </row>
    <row r="29" spans="1:15" ht="15.75" thickTop="1">
      <c r="A29" s="137" t="s">
        <v>22</v>
      </c>
      <c r="B29" s="160"/>
      <c r="C29" s="160"/>
      <c r="D29" s="160"/>
      <c r="E29" s="160">
        <f t="shared" ref="E29:M29" si="6">ROUND(+E28/$K$9,2)</f>
        <v>1.81</v>
      </c>
      <c r="F29" s="160">
        <f t="shared" si="6"/>
        <v>0.06</v>
      </c>
      <c r="G29" s="160">
        <f t="shared" si="6"/>
        <v>0.96</v>
      </c>
      <c r="H29" s="160">
        <f t="shared" si="6"/>
        <v>0.37</v>
      </c>
      <c r="I29" s="160">
        <f t="shared" si="6"/>
        <v>0</v>
      </c>
      <c r="J29" s="160">
        <f t="shared" si="6"/>
        <v>0</v>
      </c>
      <c r="K29" s="160">
        <f t="shared" si="6"/>
        <v>0.43</v>
      </c>
      <c r="L29" s="160">
        <f t="shared" si="6"/>
        <v>0.37</v>
      </c>
      <c r="M29" s="161">
        <f t="shared" si="6"/>
        <v>0.8</v>
      </c>
      <c r="N29" s="162"/>
      <c r="O29" s="17"/>
    </row>
    <row r="30" spans="1:15" ht="15.75" thickBot="1">
      <c r="A30" s="139" t="s">
        <v>23</v>
      </c>
      <c r="B30" s="163"/>
      <c r="C30" s="144"/>
      <c r="D30" s="144"/>
      <c r="E30" s="144">
        <f t="shared" ref="E30:M30" si="7">E28/$E$28*100</f>
        <v>100</v>
      </c>
      <c r="F30" s="144">
        <f t="shared" si="7"/>
        <v>3.323973710471078</v>
      </c>
      <c r="G30" s="144">
        <f t="shared" si="7"/>
        <v>52.750352706376248</v>
      </c>
      <c r="H30" s="144">
        <f t="shared" si="7"/>
        <v>20.419342073569389</v>
      </c>
      <c r="I30" s="144">
        <f t="shared" si="7"/>
        <v>0</v>
      </c>
      <c r="J30" s="144">
        <f t="shared" si="7"/>
        <v>0</v>
      </c>
      <c r="K30" s="144">
        <f t="shared" si="7"/>
        <v>23.506331509583294</v>
      </c>
      <c r="L30" s="144">
        <f t="shared" si="7"/>
        <v>20.419342073569389</v>
      </c>
      <c r="M30" s="164">
        <f t="shared" si="7"/>
        <v>43.925673583152687</v>
      </c>
      <c r="N30" s="156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42"/>
      <c r="N31" s="42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4"/>
      <c r="I36" s="135"/>
      <c r="J36" s="24"/>
      <c r="K36" s="135"/>
      <c r="L36" s="135"/>
      <c r="M36" s="44"/>
      <c r="N36" s="44"/>
      <c r="O36" s="44"/>
    </row>
    <row r="37" spans="1:15">
      <c r="A37" s="134"/>
      <c r="B37" s="135"/>
      <c r="C37" s="135" t="s">
        <v>0</v>
      </c>
      <c r="D37" s="135" t="s">
        <v>0</v>
      </c>
      <c r="E37" s="148" t="s">
        <v>0</v>
      </c>
      <c r="F37" s="135"/>
      <c r="G37" s="135"/>
      <c r="H37" s="135"/>
      <c r="I37" s="135"/>
      <c r="J37" s="135"/>
      <c r="K37" s="135"/>
      <c r="L37" s="135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T25" sqref="T25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114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8">
        <v>10745</v>
      </c>
      <c r="L9" s="11"/>
      <c r="M9" s="10" t="s">
        <v>77</v>
      </c>
      <c r="N9" s="119">
        <v>2022</v>
      </c>
    </row>
    <row r="10" spans="1:15" ht="18">
      <c r="A10" s="10" t="s">
        <v>6</v>
      </c>
      <c r="B10" s="11" t="s">
        <v>115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39" t="s">
        <v>9</v>
      </c>
      <c r="B16" s="110">
        <v>0</v>
      </c>
      <c r="C16" s="140">
        <v>0</v>
      </c>
      <c r="D16" s="140">
        <v>0</v>
      </c>
      <c r="E16" s="141">
        <f t="shared" ref="E16:E27" si="0">B16+C16-D16</f>
        <v>0</v>
      </c>
      <c r="F16" s="110">
        <v>0</v>
      </c>
      <c r="G16" s="141">
        <f t="shared" ref="G16:G28" si="1">E16-F16-H16-K16</f>
        <v>0</v>
      </c>
      <c r="H16" s="110">
        <v>0</v>
      </c>
      <c r="I16" s="110">
        <v>0</v>
      </c>
      <c r="J16" s="141">
        <f t="shared" ref="J16:J28" si="2">H16-I16-L16</f>
        <v>0</v>
      </c>
      <c r="K16" s="110">
        <v>0</v>
      </c>
      <c r="L16" s="110">
        <v>0</v>
      </c>
      <c r="M16" s="141">
        <f t="shared" ref="M16:M27" si="3">SUM(K16:L16)</f>
        <v>0</v>
      </c>
      <c r="N16" s="139">
        <f t="shared" ref="N16:N28" si="4">ROUND(+M16/$K$9,3)</f>
        <v>0</v>
      </c>
      <c r="O16" s="17"/>
    </row>
    <row r="17" spans="1:15">
      <c r="A17" s="139" t="s">
        <v>10</v>
      </c>
      <c r="B17" s="110">
        <v>0</v>
      </c>
      <c r="C17" s="140">
        <v>0</v>
      </c>
      <c r="D17" s="140">
        <v>0</v>
      </c>
      <c r="E17" s="141">
        <f t="shared" si="0"/>
        <v>0</v>
      </c>
      <c r="F17" s="110">
        <v>0</v>
      </c>
      <c r="G17" s="141">
        <f t="shared" si="1"/>
        <v>0</v>
      </c>
      <c r="H17" s="110">
        <v>0</v>
      </c>
      <c r="I17" s="110">
        <v>0</v>
      </c>
      <c r="J17" s="141">
        <f t="shared" si="2"/>
        <v>0</v>
      </c>
      <c r="K17" s="110">
        <v>0</v>
      </c>
      <c r="L17" s="110">
        <v>0</v>
      </c>
      <c r="M17" s="141">
        <f t="shared" si="3"/>
        <v>0</v>
      </c>
      <c r="N17" s="139">
        <f t="shared" si="4"/>
        <v>0</v>
      </c>
      <c r="O17" s="17"/>
    </row>
    <row r="18" spans="1:15">
      <c r="A18" s="139" t="s">
        <v>11</v>
      </c>
      <c r="B18" s="110">
        <v>0</v>
      </c>
      <c r="C18" s="140">
        <v>0</v>
      </c>
      <c r="D18" s="140">
        <v>0</v>
      </c>
      <c r="E18" s="141">
        <f t="shared" si="0"/>
        <v>0</v>
      </c>
      <c r="F18" s="110">
        <v>0</v>
      </c>
      <c r="G18" s="141">
        <f t="shared" si="1"/>
        <v>0</v>
      </c>
      <c r="H18" s="110">
        <v>0</v>
      </c>
      <c r="I18" s="110">
        <v>0</v>
      </c>
      <c r="J18" s="141">
        <f t="shared" si="2"/>
        <v>0</v>
      </c>
      <c r="K18" s="110">
        <v>0</v>
      </c>
      <c r="L18" s="110">
        <v>0</v>
      </c>
      <c r="M18" s="141">
        <f t="shared" si="3"/>
        <v>0</v>
      </c>
      <c r="N18" s="139">
        <f t="shared" si="4"/>
        <v>0</v>
      </c>
      <c r="O18" s="17"/>
    </row>
    <row r="19" spans="1:15">
      <c r="A19" s="139" t="s">
        <v>12</v>
      </c>
      <c r="B19" s="110">
        <v>0</v>
      </c>
      <c r="C19" s="140">
        <v>0</v>
      </c>
      <c r="D19" s="140">
        <v>0</v>
      </c>
      <c r="E19" s="141">
        <f t="shared" si="0"/>
        <v>0</v>
      </c>
      <c r="F19" s="110">
        <v>0</v>
      </c>
      <c r="G19" s="141">
        <f t="shared" si="1"/>
        <v>0</v>
      </c>
      <c r="H19" s="110">
        <v>0</v>
      </c>
      <c r="I19" s="110">
        <v>0</v>
      </c>
      <c r="J19" s="141">
        <f t="shared" si="2"/>
        <v>0</v>
      </c>
      <c r="K19" s="110">
        <v>0</v>
      </c>
      <c r="L19" s="110">
        <v>0</v>
      </c>
      <c r="M19" s="141">
        <f t="shared" si="3"/>
        <v>0</v>
      </c>
      <c r="N19" s="139">
        <f t="shared" si="4"/>
        <v>0</v>
      </c>
      <c r="O19" s="17"/>
    </row>
    <row r="20" spans="1:15">
      <c r="A20" s="139" t="s">
        <v>13</v>
      </c>
      <c r="B20" s="110">
        <v>0</v>
      </c>
      <c r="C20" s="140">
        <v>0</v>
      </c>
      <c r="D20" s="140">
        <v>0</v>
      </c>
      <c r="E20" s="141">
        <f t="shared" si="0"/>
        <v>0</v>
      </c>
      <c r="F20" s="110">
        <v>0</v>
      </c>
      <c r="G20" s="141">
        <f t="shared" si="1"/>
        <v>0</v>
      </c>
      <c r="H20" s="110">
        <v>0</v>
      </c>
      <c r="I20" s="110">
        <v>0</v>
      </c>
      <c r="J20" s="141">
        <f t="shared" si="2"/>
        <v>0</v>
      </c>
      <c r="K20" s="110">
        <v>0</v>
      </c>
      <c r="L20" s="110">
        <v>0</v>
      </c>
      <c r="M20" s="141">
        <f t="shared" si="3"/>
        <v>0</v>
      </c>
      <c r="N20" s="139">
        <f t="shared" si="4"/>
        <v>0</v>
      </c>
      <c r="O20" s="17"/>
    </row>
    <row r="21" spans="1:15">
      <c r="A21" s="139" t="s">
        <v>14</v>
      </c>
      <c r="B21" s="110">
        <v>4083</v>
      </c>
      <c r="C21" s="140">
        <v>0</v>
      </c>
      <c r="D21" s="140">
        <v>0</v>
      </c>
      <c r="E21" s="141">
        <f t="shared" si="0"/>
        <v>4083</v>
      </c>
      <c r="F21" s="216">
        <v>375</v>
      </c>
      <c r="G21" s="141">
        <f>E21-F21-H21-K21</f>
        <v>3558</v>
      </c>
      <c r="H21" s="110">
        <v>0</v>
      </c>
      <c r="I21" s="110">
        <v>0</v>
      </c>
      <c r="J21" s="141">
        <f t="shared" si="2"/>
        <v>0</v>
      </c>
      <c r="K21" s="216">
        <v>150</v>
      </c>
      <c r="L21" s="110">
        <v>0</v>
      </c>
      <c r="M21" s="141">
        <f t="shared" si="3"/>
        <v>150</v>
      </c>
      <c r="N21" s="139">
        <f t="shared" si="4"/>
        <v>1.4E-2</v>
      </c>
      <c r="O21" s="17"/>
    </row>
    <row r="22" spans="1:15">
      <c r="A22" s="139" t="s">
        <v>15</v>
      </c>
      <c r="B22" s="110">
        <v>7851</v>
      </c>
      <c r="C22" s="140">
        <v>0</v>
      </c>
      <c r="D22" s="140">
        <v>0</v>
      </c>
      <c r="E22" s="141">
        <f t="shared" si="0"/>
        <v>7851</v>
      </c>
      <c r="F22" s="216">
        <v>674</v>
      </c>
      <c r="G22" s="141">
        <f t="shared" si="1"/>
        <v>4737</v>
      </c>
      <c r="H22" s="110">
        <v>0</v>
      </c>
      <c r="I22" s="110">
        <v>0</v>
      </c>
      <c r="J22" s="141">
        <f t="shared" si="2"/>
        <v>0</v>
      </c>
      <c r="K22" s="217">
        <v>2440</v>
      </c>
      <c r="L22" s="110">
        <v>0</v>
      </c>
      <c r="M22" s="141">
        <f t="shared" si="3"/>
        <v>2440</v>
      </c>
      <c r="N22" s="139">
        <f t="shared" si="4"/>
        <v>0.22700000000000001</v>
      </c>
      <c r="O22" s="17"/>
    </row>
    <row r="23" spans="1:15">
      <c r="A23" s="139" t="s">
        <v>16</v>
      </c>
      <c r="B23" s="110">
        <v>10136</v>
      </c>
      <c r="C23" s="140">
        <v>0</v>
      </c>
      <c r="D23" s="140">
        <v>0</v>
      </c>
      <c r="E23" s="141">
        <f t="shared" si="0"/>
        <v>10136</v>
      </c>
      <c r="F23" s="216">
        <v>992</v>
      </c>
      <c r="G23" s="141">
        <f t="shared" si="1"/>
        <v>6250</v>
      </c>
      <c r="H23" s="110">
        <v>0</v>
      </c>
      <c r="I23" s="110">
        <v>0</v>
      </c>
      <c r="J23" s="141">
        <f t="shared" si="2"/>
        <v>0</v>
      </c>
      <c r="K23" s="217">
        <v>2894</v>
      </c>
      <c r="L23" s="110">
        <v>0</v>
      </c>
      <c r="M23" s="141">
        <f t="shared" si="3"/>
        <v>2894</v>
      </c>
      <c r="N23" s="139">
        <f t="shared" si="4"/>
        <v>0.26900000000000002</v>
      </c>
      <c r="O23" s="17"/>
    </row>
    <row r="24" spans="1:15">
      <c r="A24" s="139" t="s">
        <v>17</v>
      </c>
      <c r="B24" s="110">
        <v>2472</v>
      </c>
      <c r="C24" s="140">
        <v>0</v>
      </c>
      <c r="D24" s="140">
        <v>0</v>
      </c>
      <c r="E24" s="141">
        <f t="shared" si="0"/>
        <v>2472</v>
      </c>
      <c r="F24" s="216">
        <v>258</v>
      </c>
      <c r="G24" s="141">
        <f t="shared" si="1"/>
        <v>230</v>
      </c>
      <c r="H24" s="110">
        <v>0</v>
      </c>
      <c r="I24" s="110">
        <v>0</v>
      </c>
      <c r="J24" s="141">
        <f t="shared" si="2"/>
        <v>0</v>
      </c>
      <c r="K24" s="217">
        <v>1984</v>
      </c>
      <c r="L24" s="110">
        <v>0</v>
      </c>
      <c r="M24" s="141">
        <f t="shared" si="3"/>
        <v>1984</v>
      </c>
      <c r="N24" s="139">
        <f t="shared" si="4"/>
        <v>0.185</v>
      </c>
      <c r="O24" s="17"/>
    </row>
    <row r="25" spans="1:15">
      <c r="A25" s="139" t="s">
        <v>18</v>
      </c>
      <c r="B25" s="110">
        <v>0</v>
      </c>
      <c r="C25" s="140">
        <v>0</v>
      </c>
      <c r="D25" s="140">
        <v>0</v>
      </c>
      <c r="E25" s="141">
        <f t="shared" si="0"/>
        <v>0</v>
      </c>
      <c r="F25" s="110">
        <v>0</v>
      </c>
      <c r="G25" s="141">
        <f t="shared" si="1"/>
        <v>0</v>
      </c>
      <c r="H25" s="110">
        <v>0</v>
      </c>
      <c r="I25" s="110">
        <v>0</v>
      </c>
      <c r="J25" s="141">
        <f t="shared" si="2"/>
        <v>0</v>
      </c>
      <c r="K25" s="110">
        <v>0</v>
      </c>
      <c r="L25" s="110">
        <v>0</v>
      </c>
      <c r="M25" s="141">
        <f t="shared" si="3"/>
        <v>0</v>
      </c>
      <c r="N25" s="139">
        <f t="shared" si="4"/>
        <v>0</v>
      </c>
      <c r="O25" s="17"/>
    </row>
    <row r="26" spans="1:15">
      <c r="A26" s="139" t="s">
        <v>19</v>
      </c>
      <c r="B26" s="110">
        <v>0</v>
      </c>
      <c r="C26" s="140">
        <v>0</v>
      </c>
      <c r="D26" s="140">
        <v>0</v>
      </c>
      <c r="E26" s="141">
        <f t="shared" si="0"/>
        <v>0</v>
      </c>
      <c r="F26" s="110">
        <v>0</v>
      </c>
      <c r="G26" s="141">
        <f t="shared" si="1"/>
        <v>0</v>
      </c>
      <c r="H26" s="110">
        <v>0</v>
      </c>
      <c r="I26" s="110">
        <v>0</v>
      </c>
      <c r="J26" s="141">
        <f t="shared" si="2"/>
        <v>0</v>
      </c>
      <c r="K26" s="110">
        <v>0</v>
      </c>
      <c r="L26" s="110">
        <v>0</v>
      </c>
      <c r="M26" s="141">
        <f t="shared" si="3"/>
        <v>0</v>
      </c>
      <c r="N26" s="139">
        <f t="shared" si="4"/>
        <v>0</v>
      </c>
      <c r="O26" s="17"/>
    </row>
    <row r="27" spans="1:15">
      <c r="A27" s="139" t="s">
        <v>20</v>
      </c>
      <c r="B27" s="110">
        <v>0</v>
      </c>
      <c r="C27" s="140">
        <v>0</v>
      </c>
      <c r="D27" s="140">
        <v>0</v>
      </c>
      <c r="E27" s="141">
        <f t="shared" si="0"/>
        <v>0</v>
      </c>
      <c r="F27" s="110">
        <v>0</v>
      </c>
      <c r="G27" s="141">
        <f t="shared" si="1"/>
        <v>0</v>
      </c>
      <c r="H27" s="110">
        <v>0</v>
      </c>
      <c r="I27" s="110">
        <v>0</v>
      </c>
      <c r="J27" s="141">
        <f t="shared" si="2"/>
        <v>0</v>
      </c>
      <c r="K27" s="110">
        <v>0</v>
      </c>
      <c r="L27" s="110">
        <v>0</v>
      </c>
      <c r="M27" s="141">
        <f t="shared" si="3"/>
        <v>0</v>
      </c>
      <c r="N27" s="139">
        <f t="shared" si="4"/>
        <v>0</v>
      </c>
      <c r="O27" s="17"/>
    </row>
    <row r="28" spans="1:15" ht="15.75" thickBot="1">
      <c r="A28" s="172" t="s">
        <v>21</v>
      </c>
      <c r="B28" s="157">
        <f>SUM(B16:B27)</f>
        <v>24542</v>
      </c>
      <c r="C28" s="157">
        <f>SUM(C16:C27)</f>
        <v>0</v>
      </c>
      <c r="D28" s="157">
        <f>SUM(D16:D27)</f>
        <v>0</v>
      </c>
      <c r="E28" s="157">
        <f>SUM(E16:E27)</f>
        <v>24542</v>
      </c>
      <c r="F28" s="157">
        <f>SUM(F16:F27)</f>
        <v>2299</v>
      </c>
      <c r="G28" s="157">
        <f t="shared" si="1"/>
        <v>14775</v>
      </c>
      <c r="H28" s="157">
        <f>SUM(H16:H27)</f>
        <v>0</v>
      </c>
      <c r="I28" s="157">
        <f>SUM(I16:I27)</f>
        <v>0</v>
      </c>
      <c r="J28" s="157">
        <f t="shared" si="2"/>
        <v>0</v>
      </c>
      <c r="K28" s="157">
        <f>SUM(K16:K27)</f>
        <v>7468</v>
      </c>
      <c r="L28" s="157">
        <f>SUM(L16:L27)</f>
        <v>0</v>
      </c>
      <c r="M28" s="157">
        <f>SUM(M16:M27)</f>
        <v>7468</v>
      </c>
      <c r="N28" s="142">
        <f t="shared" si="4"/>
        <v>0.69499999999999995</v>
      </c>
      <c r="O28" s="17"/>
    </row>
    <row r="29" spans="1:15" ht="15.75" thickTop="1">
      <c r="A29" s="138" t="s">
        <v>22</v>
      </c>
      <c r="B29" s="138"/>
      <c r="C29" s="138"/>
      <c r="D29" s="138"/>
      <c r="E29" s="160">
        <f t="shared" ref="E29:M29" si="5">ROUND(+E28/$K$9,2)</f>
        <v>2.2799999999999998</v>
      </c>
      <c r="F29" s="160">
        <f t="shared" si="5"/>
        <v>0.21</v>
      </c>
      <c r="G29" s="160">
        <f t="shared" si="5"/>
        <v>1.38</v>
      </c>
      <c r="H29" s="160">
        <f t="shared" si="5"/>
        <v>0</v>
      </c>
      <c r="I29" s="160">
        <f t="shared" si="5"/>
        <v>0</v>
      </c>
      <c r="J29" s="160">
        <f t="shared" si="5"/>
        <v>0</v>
      </c>
      <c r="K29" s="160">
        <f t="shared" si="5"/>
        <v>0.7</v>
      </c>
      <c r="L29" s="160">
        <f t="shared" si="5"/>
        <v>0</v>
      </c>
      <c r="M29" s="160">
        <f t="shared" si="5"/>
        <v>0.7</v>
      </c>
      <c r="N29" s="138"/>
      <c r="O29" s="17"/>
    </row>
    <row r="30" spans="1:15" ht="15.75" thickBot="1">
      <c r="A30" s="139" t="s">
        <v>23</v>
      </c>
      <c r="B30" s="139"/>
      <c r="C30" s="139"/>
      <c r="D30" s="139"/>
      <c r="E30" s="144">
        <f t="shared" ref="E30:M30" si="6">ROUND(+E28/$E$28*100,1)</f>
        <v>100</v>
      </c>
      <c r="F30" s="144">
        <f t="shared" si="6"/>
        <v>9.4</v>
      </c>
      <c r="G30" s="144">
        <f t="shared" si="6"/>
        <v>60.2</v>
      </c>
      <c r="H30" s="144">
        <f t="shared" si="6"/>
        <v>0</v>
      </c>
      <c r="I30" s="144">
        <f t="shared" si="6"/>
        <v>0</v>
      </c>
      <c r="J30" s="144">
        <f t="shared" si="6"/>
        <v>0</v>
      </c>
      <c r="K30" s="144">
        <f t="shared" si="6"/>
        <v>30.4</v>
      </c>
      <c r="L30" s="144">
        <f t="shared" si="6"/>
        <v>0</v>
      </c>
      <c r="M30" s="144">
        <f t="shared" si="6"/>
        <v>30.4</v>
      </c>
      <c r="N30" s="139"/>
      <c r="O30" s="17"/>
    </row>
    <row r="31" spans="1:15" ht="15.75" thickTop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5">
      <c r="A32" s="24" t="s">
        <v>24</v>
      </c>
      <c r="B32" s="24" t="s">
        <v>33</v>
      </c>
      <c r="C32" s="135"/>
      <c r="D32" s="135"/>
      <c r="E32" s="135"/>
      <c r="F32" s="135"/>
      <c r="G32" s="135"/>
      <c r="H32" s="135"/>
      <c r="I32" s="24" t="s">
        <v>66</v>
      </c>
      <c r="J32" s="135"/>
      <c r="K32" s="135"/>
      <c r="L32" s="135"/>
      <c r="M32" s="135"/>
      <c r="N32" s="135"/>
    </row>
    <row r="33" spans="1:15">
      <c r="A33" s="24"/>
      <c r="B33" s="24" t="s">
        <v>34</v>
      </c>
      <c r="C33" s="135"/>
      <c r="D33" s="135"/>
      <c r="E33" s="135"/>
      <c r="F33" s="135"/>
      <c r="G33" s="135"/>
      <c r="H33" s="135"/>
      <c r="I33" s="24" t="s">
        <v>67</v>
      </c>
      <c r="J33" s="135"/>
      <c r="K33" s="135"/>
      <c r="L33" s="135"/>
      <c r="M33" s="135"/>
      <c r="N33" s="135"/>
    </row>
    <row r="34" spans="1:15">
      <c r="A34" s="24"/>
      <c r="B34" s="24" t="s">
        <v>35</v>
      </c>
      <c r="C34" s="135"/>
      <c r="D34" s="135"/>
      <c r="E34" s="135"/>
      <c r="F34" s="135"/>
      <c r="G34" s="135"/>
      <c r="H34" s="135"/>
      <c r="I34" s="24" t="s">
        <v>68</v>
      </c>
      <c r="J34" s="135"/>
      <c r="K34" s="135"/>
      <c r="L34" s="135"/>
      <c r="M34" s="135"/>
      <c r="N34" s="135"/>
    </row>
    <row r="35" spans="1:15">
      <c r="A35" s="24"/>
      <c r="B35" s="24" t="s">
        <v>36</v>
      </c>
      <c r="C35" s="135"/>
      <c r="D35" s="135"/>
      <c r="E35" s="135"/>
      <c r="F35" s="135"/>
      <c r="G35" s="135"/>
      <c r="H35" s="135"/>
      <c r="I35" s="24" t="s">
        <v>69</v>
      </c>
      <c r="J35" s="135"/>
      <c r="K35" s="135"/>
      <c r="L35" s="135"/>
      <c r="M35" s="135"/>
      <c r="N35" s="135"/>
    </row>
    <row r="36" spans="1:15">
      <c r="A36" s="54"/>
      <c r="B36" s="134"/>
      <c r="C36" s="135" t="s">
        <v>0</v>
      </c>
      <c r="D36" s="135" t="s">
        <v>0</v>
      </c>
      <c r="E36" s="147" t="s">
        <v>0</v>
      </c>
      <c r="F36" s="134"/>
      <c r="G36" s="134"/>
      <c r="H36" s="135"/>
      <c r="I36" s="24"/>
      <c r="J36" s="135"/>
      <c r="K36" s="135"/>
      <c r="L36" s="135"/>
      <c r="M36" s="135"/>
      <c r="N36" s="135"/>
      <c r="O36" s="44"/>
    </row>
    <row r="40" spans="1:15" ht="25.5">
      <c r="B40" s="192"/>
      <c r="C40" s="195"/>
      <c r="D40" s="195"/>
      <c r="E40" s="195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28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'gln elder'!Print_Area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Morgan, Miles David</cp:lastModifiedBy>
  <cp:lastPrinted>2023-02-02T14:07:35Z</cp:lastPrinted>
  <dcterms:created xsi:type="dcterms:W3CDTF">2005-01-04T14:17:57Z</dcterms:created>
  <dcterms:modified xsi:type="dcterms:W3CDTF">2023-04-14T13:54:49Z</dcterms:modified>
</cp:coreProperties>
</file>