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Water Management\IWI\RRCA\EC\For2021\KS\Annual_Reporting\"/>
    </mc:Choice>
  </mc:AlternateContent>
  <xr:revisionPtr revIDLastSave="0" documentId="14_{FB24AA75-0DD4-4115-AFA3-65AE83AE9545}" xr6:coauthVersionLast="47" xr6:coauthVersionMax="47" xr10:uidLastSave="{00000000-0000-0000-0000-000000000000}"/>
  <bookViews>
    <workbookView xWindow="1908" yWindow="216" windowWidth="20460" windowHeight="11808" firstSheet="8" activeTab="10" xr2:uid="{00000000-000D-0000-FFFF-FFFF00000000}"/>
  </bookViews>
  <sheets>
    <sheet name="Doc" sheetId="4" r:id="rId1"/>
    <sheet name="ref" sheetId="5" r:id="rId2"/>
    <sheet name="RR_CBCU" sheetId="1" r:id="rId3"/>
    <sheet name="WRC_BurrOak_annual" sheetId="6" r:id="rId4"/>
    <sheet name="C-LOV" sheetId="8" r:id="rId5"/>
    <sheet name="C-BELOW" sheetId="9" r:id="rId6"/>
    <sheet name="LVKS_Out_AF" sheetId="7" r:id="rId7"/>
    <sheet name="supporting_cal_data" sheetId="10" r:id="rId8"/>
    <sheet name="WRC_BurrOak_monthly" sheetId="2" r:id="rId9"/>
    <sheet name="supporting_data_2020" sheetId="11" r:id="rId10"/>
    <sheet name="supporting data_2021" sheetId="12" r:id="rId11"/>
    <sheet name="WRC_bl_Lovewell_USGS" sheetId="3" r:id="rId12"/>
  </sheets>
  <definedNames>
    <definedName name="_xlnm.Print_Area" localSheetId="2">RR_CBCU!$A$1:$L$60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70" i="2" l="1"/>
  <c r="K32" i="1" l="1"/>
  <c r="F32" i="1"/>
  <c r="E32" i="1"/>
  <c r="I70" i="6"/>
  <c r="H70" i="6"/>
  <c r="D32" i="1" s="1"/>
  <c r="G32" i="1" s="1"/>
  <c r="H32" i="1" s="1"/>
  <c r="I32" i="1" s="1"/>
  <c r="J32" i="1" s="1"/>
  <c r="N69" i="2"/>
  <c r="N68" i="2"/>
  <c r="G426" i="11"/>
  <c r="G455" i="11"/>
  <c r="G486" i="11"/>
  <c r="G516" i="11"/>
  <c r="G547" i="11"/>
  <c r="G577" i="11"/>
  <c r="G608" i="11"/>
  <c r="G639" i="11"/>
  <c r="F61" i="11"/>
  <c r="G61" i="11"/>
  <c r="M70" i="9"/>
  <c r="L70" i="9"/>
  <c r="K70" i="9"/>
  <c r="J70" i="9"/>
  <c r="I70" i="9"/>
  <c r="H70" i="9"/>
  <c r="G70" i="9"/>
  <c r="F70" i="9"/>
  <c r="E70" i="9"/>
  <c r="D70" i="9"/>
  <c r="C70" i="9"/>
  <c r="B70" i="9"/>
  <c r="N70" i="9" s="1"/>
  <c r="J70" i="6" l="1"/>
  <c r="N79" i="2"/>
  <c r="O79" i="2" s="1"/>
  <c r="N6" i="3" l="1"/>
  <c r="N6" i="1"/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6" i="1"/>
  <c r="N69" i="8" l="1"/>
  <c r="C31" i="1" s="1"/>
  <c r="F31" i="1" l="1"/>
  <c r="K31" i="1" s="1"/>
  <c r="G69" i="6"/>
  <c r="H69" i="6" s="1"/>
  <c r="D31" i="1" s="1"/>
  <c r="G31" i="1" s="1"/>
  <c r="H31" i="1" s="1"/>
  <c r="I31" i="1" s="1"/>
  <c r="J31" i="1" s="1"/>
  <c r="G7" i="6"/>
  <c r="G669" i="11"/>
  <c r="G700" i="11"/>
  <c r="G730" i="11"/>
  <c r="G761" i="11"/>
  <c r="G150" i="11"/>
  <c r="G120" i="11"/>
  <c r="G89" i="11"/>
  <c r="N69" i="7"/>
  <c r="B73" i="8" l="1"/>
  <c r="J73" i="8"/>
  <c r="N68" i="8"/>
  <c r="M74" i="8"/>
  <c r="L74" i="8"/>
  <c r="K74" i="8"/>
  <c r="J74" i="8"/>
  <c r="I74" i="8"/>
  <c r="H74" i="8"/>
  <c r="G74" i="8"/>
  <c r="F74" i="8"/>
  <c r="E74" i="8"/>
  <c r="D74" i="8"/>
  <c r="C74" i="8"/>
  <c r="B74" i="8"/>
  <c r="M73" i="8"/>
  <c r="L73" i="8"/>
  <c r="K73" i="8"/>
  <c r="I73" i="8"/>
  <c r="H73" i="8"/>
  <c r="G73" i="8"/>
  <c r="F73" i="8"/>
  <c r="E73" i="8"/>
  <c r="D73" i="8"/>
  <c r="C73" i="8"/>
  <c r="N68" i="7" l="1"/>
  <c r="F30" i="1" l="1"/>
  <c r="C30" i="1"/>
  <c r="N67" i="8"/>
  <c r="K30" i="1" l="1"/>
  <c r="X30" i="1"/>
  <c r="G68" i="6" l="1"/>
  <c r="H68" i="6" l="1"/>
  <c r="D30" i="1" s="1"/>
  <c r="G30" i="1" s="1"/>
  <c r="H30" i="1" s="1"/>
  <c r="W41" i="1"/>
  <c r="U41" i="1"/>
  <c r="S41" i="1"/>
  <c r="I30" i="1" l="1"/>
  <c r="T30" i="1"/>
  <c r="V30" i="1"/>
  <c r="J30" i="1"/>
  <c r="N67" i="7"/>
  <c r="F29" i="1" s="1"/>
  <c r="K29" i="1" l="1"/>
  <c r="G67" i="6" l="1"/>
  <c r="H67" i="6" s="1"/>
  <c r="D29" i="1" s="1"/>
  <c r="C29" i="1"/>
  <c r="X29" i="1" s="1"/>
  <c r="G29" i="1" l="1"/>
  <c r="H29" i="1" s="1"/>
  <c r="I29" i="1" l="1"/>
  <c r="T29" i="1"/>
  <c r="P14" i="1"/>
  <c r="C63" i="1"/>
  <c r="J29" i="1" l="1"/>
  <c r="V29" i="1"/>
  <c r="P55" i="1"/>
  <c r="I53" i="1"/>
  <c r="O2" i="3"/>
  <c r="O1" i="3"/>
  <c r="O3" i="3" s="1"/>
  <c r="N59" i="3" s="1"/>
  <c r="N40" i="3" l="1"/>
  <c r="N44" i="3"/>
  <c r="N8" i="3"/>
  <c r="N12" i="3"/>
  <c r="N16" i="3"/>
  <c r="N20" i="3"/>
  <c r="N24" i="3"/>
  <c r="N28" i="3"/>
  <c r="N32" i="3"/>
  <c r="N36" i="3"/>
  <c r="N48" i="3"/>
  <c r="N52" i="3"/>
  <c r="N56" i="3"/>
  <c r="N60" i="3"/>
  <c r="N9" i="3"/>
  <c r="N13" i="3"/>
  <c r="N17" i="3"/>
  <c r="N21" i="3"/>
  <c r="N25" i="3"/>
  <c r="N29" i="3"/>
  <c r="N33" i="3"/>
  <c r="N37" i="3"/>
  <c r="N41" i="3"/>
  <c r="N45" i="3"/>
  <c r="N49" i="3"/>
  <c r="N53" i="3"/>
  <c r="N57" i="3"/>
  <c r="N61" i="3"/>
  <c r="N10" i="3"/>
  <c r="N14" i="3"/>
  <c r="N18" i="3"/>
  <c r="N22" i="3"/>
  <c r="N26" i="3"/>
  <c r="N30" i="3"/>
  <c r="N34" i="3"/>
  <c r="N38" i="3"/>
  <c r="N42" i="3"/>
  <c r="N46" i="3"/>
  <c r="N50" i="3"/>
  <c r="N54" i="3"/>
  <c r="N58" i="3"/>
  <c r="N7" i="3"/>
  <c r="N11" i="3"/>
  <c r="N15" i="3"/>
  <c r="N19" i="3"/>
  <c r="N23" i="3"/>
  <c r="N27" i="3"/>
  <c r="N31" i="3"/>
  <c r="N35" i="3"/>
  <c r="N39" i="3"/>
  <c r="N43" i="3"/>
  <c r="N47" i="3"/>
  <c r="N51" i="3"/>
  <c r="N55" i="3"/>
  <c r="AA59" i="1"/>
  <c r="AA61" i="1" s="1"/>
  <c r="P80" i="1" l="1"/>
  <c r="P16" i="1" l="1"/>
  <c r="P17" i="1" s="1"/>
  <c r="P18" i="1" s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O2" i="6" l="1"/>
  <c r="O1" i="6"/>
  <c r="O3" i="6" s="1"/>
  <c r="O2" i="2" l="1"/>
  <c r="O1" i="2"/>
  <c r="A53" i="2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O3" i="2" l="1"/>
  <c r="N62" i="2" s="1"/>
  <c r="I62" i="6" s="1"/>
  <c r="N58" i="2"/>
  <c r="I58" i="6" s="1"/>
  <c r="N54" i="2"/>
  <c r="I54" i="6" s="1"/>
  <c r="N50" i="2"/>
  <c r="I50" i="6" s="1"/>
  <c r="N46" i="2"/>
  <c r="I46" i="6" s="1"/>
  <c r="N42" i="2"/>
  <c r="I42" i="6" s="1"/>
  <c r="N38" i="2"/>
  <c r="I38" i="6" s="1"/>
  <c r="N34" i="2"/>
  <c r="I34" i="6" s="1"/>
  <c r="N30" i="2"/>
  <c r="I30" i="6" s="1"/>
  <c r="N26" i="2"/>
  <c r="I26" i="6" s="1"/>
  <c r="N22" i="2"/>
  <c r="I22" i="6" s="1"/>
  <c r="N18" i="2"/>
  <c r="I18" i="6" s="1"/>
  <c r="N14" i="2"/>
  <c r="I14" i="6" s="1"/>
  <c r="N10" i="2"/>
  <c r="I10" i="6" s="1"/>
  <c r="N65" i="2"/>
  <c r="I65" i="6" s="1"/>
  <c r="N61" i="2"/>
  <c r="I61" i="6" s="1"/>
  <c r="N57" i="2"/>
  <c r="I57" i="6" s="1"/>
  <c r="N53" i="2"/>
  <c r="I53" i="6" s="1"/>
  <c r="N49" i="2"/>
  <c r="I49" i="6" s="1"/>
  <c r="N45" i="2"/>
  <c r="I45" i="6" s="1"/>
  <c r="N41" i="2"/>
  <c r="I41" i="6" s="1"/>
  <c r="N37" i="2"/>
  <c r="I37" i="6" s="1"/>
  <c r="N33" i="2"/>
  <c r="I33" i="6" s="1"/>
  <c r="N29" i="2"/>
  <c r="I29" i="6" s="1"/>
  <c r="N25" i="2"/>
  <c r="I25" i="6" s="1"/>
  <c r="N21" i="2"/>
  <c r="I21" i="6" s="1"/>
  <c r="N17" i="2"/>
  <c r="I17" i="6" s="1"/>
  <c r="N13" i="2"/>
  <c r="I13" i="6" s="1"/>
  <c r="N9" i="2"/>
  <c r="I9" i="6" s="1"/>
  <c r="N64" i="2"/>
  <c r="I64" i="6" s="1"/>
  <c r="N60" i="2"/>
  <c r="I60" i="6" s="1"/>
  <c r="N56" i="2"/>
  <c r="I56" i="6" s="1"/>
  <c r="N52" i="2"/>
  <c r="I52" i="6" s="1"/>
  <c r="N48" i="2"/>
  <c r="I48" i="6" s="1"/>
  <c r="N44" i="2"/>
  <c r="I44" i="6" s="1"/>
  <c r="N40" i="2"/>
  <c r="I40" i="6" s="1"/>
  <c r="N36" i="2"/>
  <c r="I36" i="6" s="1"/>
  <c r="N32" i="2"/>
  <c r="I32" i="6" s="1"/>
  <c r="N28" i="2"/>
  <c r="I28" i="6" s="1"/>
  <c r="N24" i="2"/>
  <c r="I24" i="6" s="1"/>
  <c r="N20" i="2"/>
  <c r="I20" i="6" s="1"/>
  <c r="N16" i="2"/>
  <c r="I16" i="6" s="1"/>
  <c r="N12" i="2"/>
  <c r="I12" i="6" s="1"/>
  <c r="N8" i="2"/>
  <c r="I8" i="6" s="1"/>
  <c r="N63" i="2"/>
  <c r="I63" i="6" s="1"/>
  <c r="N59" i="2"/>
  <c r="I59" i="6" s="1"/>
  <c r="N55" i="2"/>
  <c r="I55" i="6" s="1"/>
  <c r="N51" i="2"/>
  <c r="I51" i="6" s="1"/>
  <c r="N47" i="2"/>
  <c r="I47" i="6" s="1"/>
  <c r="N43" i="2"/>
  <c r="I43" i="6" s="1"/>
  <c r="N39" i="2"/>
  <c r="I39" i="6" s="1"/>
  <c r="N35" i="2"/>
  <c r="I35" i="6" s="1"/>
  <c r="N31" i="2"/>
  <c r="I31" i="6" s="1"/>
  <c r="N27" i="2"/>
  <c r="I27" i="6" s="1"/>
  <c r="N23" i="2"/>
  <c r="I23" i="6" s="1"/>
  <c r="N19" i="2"/>
  <c r="I19" i="6" s="1"/>
  <c r="N15" i="2"/>
  <c r="I15" i="6" s="1"/>
  <c r="N11" i="2"/>
  <c r="I11" i="6" s="1"/>
  <c r="I69" i="6" l="1"/>
  <c r="J69" i="6" s="1"/>
  <c r="I68" i="6"/>
  <c r="J68" i="6" s="1"/>
  <c r="N66" i="2"/>
  <c r="I66" i="6" s="1"/>
  <c r="N67" i="2"/>
  <c r="I67" i="6" s="1"/>
  <c r="J67" i="6" s="1"/>
  <c r="N7" i="2"/>
  <c r="I7" i="6" s="1"/>
  <c r="F9" i="5"/>
  <c r="F10" i="1"/>
  <c r="N66" i="7"/>
  <c r="F28" i="1" s="1"/>
  <c r="N65" i="7"/>
  <c r="F27" i="1" s="1"/>
  <c r="N64" i="7"/>
  <c r="F26" i="1" s="1"/>
  <c r="N63" i="7"/>
  <c r="F25" i="1" s="1"/>
  <c r="N62" i="7"/>
  <c r="F24" i="1" s="1"/>
  <c r="N61" i="7"/>
  <c r="F23" i="1" s="1"/>
  <c r="N60" i="7"/>
  <c r="F22" i="1" s="1"/>
  <c r="N59" i="7"/>
  <c r="F21" i="1" s="1"/>
  <c r="N58" i="7"/>
  <c r="F20" i="1" s="1"/>
  <c r="N57" i="7"/>
  <c r="F19" i="1" s="1"/>
  <c r="N56" i="7"/>
  <c r="F18" i="1" s="1"/>
  <c r="N55" i="7"/>
  <c r="F17" i="1" s="1"/>
  <c r="I54" i="7"/>
  <c r="H54" i="7"/>
  <c r="G54" i="7"/>
  <c r="I53" i="7"/>
  <c r="H53" i="7"/>
  <c r="G53" i="7"/>
  <c r="F53" i="7"/>
  <c r="I52" i="7"/>
  <c r="H52" i="7"/>
  <c r="G52" i="7"/>
  <c r="F52" i="7"/>
  <c r="N51" i="7"/>
  <c r="F13" i="1" s="1"/>
  <c r="N50" i="7"/>
  <c r="F12" i="1" s="1"/>
  <c r="N49" i="7"/>
  <c r="F11" i="1" s="1"/>
  <c r="N48" i="7"/>
  <c r="N47" i="7"/>
  <c r="F9" i="1" s="1"/>
  <c r="N46" i="7"/>
  <c r="F8" i="1" s="1"/>
  <c r="N45" i="7"/>
  <c r="F7" i="1" s="1"/>
  <c r="N44" i="7"/>
  <c r="F6" i="1" s="1"/>
  <c r="J43" i="7"/>
  <c r="I43" i="7"/>
  <c r="H43" i="7"/>
  <c r="G43" i="7"/>
  <c r="F43" i="7"/>
  <c r="J42" i="7"/>
  <c r="I42" i="7"/>
  <c r="H42" i="7"/>
  <c r="G42" i="7"/>
  <c r="F42" i="7"/>
  <c r="J41" i="7"/>
  <c r="I41" i="7"/>
  <c r="H41" i="7"/>
  <c r="G41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7" i="7"/>
  <c r="N6" i="7"/>
  <c r="N66" i="8"/>
  <c r="C28" i="1" s="1"/>
  <c r="X28" i="1" s="1"/>
  <c r="N65" i="8"/>
  <c r="C27" i="1" s="1"/>
  <c r="X27" i="1" s="1"/>
  <c r="N64" i="8"/>
  <c r="C26" i="1" s="1"/>
  <c r="X26" i="1" s="1"/>
  <c r="N63" i="8"/>
  <c r="C25" i="1" s="1"/>
  <c r="X25" i="1" s="1"/>
  <c r="N62" i="8"/>
  <c r="C24" i="1" s="1"/>
  <c r="X24" i="1" s="1"/>
  <c r="N61" i="8"/>
  <c r="C23" i="1" s="1"/>
  <c r="X23" i="1" s="1"/>
  <c r="N60" i="8"/>
  <c r="C22" i="1" s="1"/>
  <c r="X22" i="1" s="1"/>
  <c r="N59" i="8"/>
  <c r="C21" i="1" s="1"/>
  <c r="X21" i="1" s="1"/>
  <c r="N58" i="8"/>
  <c r="C20" i="1" s="1"/>
  <c r="X20" i="1" s="1"/>
  <c r="N57" i="8"/>
  <c r="C19" i="1" s="1"/>
  <c r="X19" i="1" s="1"/>
  <c r="N56" i="8"/>
  <c r="C18" i="1" s="1"/>
  <c r="X18" i="1" s="1"/>
  <c r="N55" i="8"/>
  <c r="C17" i="1" s="1"/>
  <c r="X17" i="1" s="1"/>
  <c r="N54" i="8"/>
  <c r="C16" i="1" s="1"/>
  <c r="X16" i="1" s="1"/>
  <c r="N53" i="8"/>
  <c r="C15" i="1" s="1"/>
  <c r="X15" i="1" s="1"/>
  <c r="N52" i="8"/>
  <c r="C14" i="1" s="1"/>
  <c r="X14" i="1" s="1"/>
  <c r="N51" i="8"/>
  <c r="C13" i="1" s="1"/>
  <c r="X13" i="1" s="1"/>
  <c r="N50" i="8"/>
  <c r="C12" i="1" s="1"/>
  <c r="X12" i="1" s="1"/>
  <c r="N49" i="8"/>
  <c r="C11" i="1" s="1"/>
  <c r="N48" i="8"/>
  <c r="C10" i="1" s="1"/>
  <c r="X10" i="1" s="1"/>
  <c r="N47" i="8"/>
  <c r="C9" i="1" s="1"/>
  <c r="X9" i="1" s="1"/>
  <c r="N46" i="8"/>
  <c r="C8" i="1" s="1"/>
  <c r="X8" i="1" s="1"/>
  <c r="N45" i="8"/>
  <c r="C7" i="1" s="1"/>
  <c r="X7" i="1" s="1"/>
  <c r="N44" i="8"/>
  <c r="C6" i="1" s="1"/>
  <c r="X6" i="1" s="1"/>
  <c r="N43" i="8"/>
  <c r="N42" i="8"/>
  <c r="N41" i="8"/>
  <c r="N40" i="8"/>
  <c r="N39" i="8"/>
  <c r="N38" i="8"/>
  <c r="N37" i="8"/>
  <c r="N36" i="8"/>
  <c r="N35" i="8"/>
  <c r="N34" i="8"/>
  <c r="N33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3" i="8"/>
  <c r="N12" i="8"/>
  <c r="N11" i="8"/>
  <c r="N10" i="8"/>
  <c r="N9" i="8"/>
  <c r="N8" i="8"/>
  <c r="N7" i="8"/>
  <c r="N6" i="8"/>
  <c r="G66" i="6"/>
  <c r="H66" i="6" s="1"/>
  <c r="G65" i="6"/>
  <c r="H65" i="6" s="1"/>
  <c r="J65" i="6" s="1"/>
  <c r="G64" i="6"/>
  <c r="H64" i="6" s="1"/>
  <c r="J64" i="6" s="1"/>
  <c r="G63" i="6"/>
  <c r="H63" i="6" s="1"/>
  <c r="J63" i="6" s="1"/>
  <c r="G62" i="6"/>
  <c r="H62" i="6" s="1"/>
  <c r="J62" i="6" s="1"/>
  <c r="G61" i="6"/>
  <c r="H61" i="6" s="1"/>
  <c r="J61" i="6" s="1"/>
  <c r="G60" i="6"/>
  <c r="H60" i="6" s="1"/>
  <c r="J60" i="6" s="1"/>
  <c r="G59" i="6"/>
  <c r="H59" i="6" s="1"/>
  <c r="J59" i="6" s="1"/>
  <c r="G58" i="6"/>
  <c r="H58" i="6" s="1"/>
  <c r="J58" i="6" s="1"/>
  <c r="G57" i="6"/>
  <c r="H57" i="6" s="1"/>
  <c r="J57" i="6" s="1"/>
  <c r="G56" i="6"/>
  <c r="H56" i="6" s="1"/>
  <c r="J56" i="6" s="1"/>
  <c r="G55" i="6"/>
  <c r="H55" i="6" s="1"/>
  <c r="J55" i="6" s="1"/>
  <c r="G54" i="6"/>
  <c r="H54" i="6" s="1"/>
  <c r="J54" i="6" s="1"/>
  <c r="G53" i="6"/>
  <c r="H53" i="6" s="1"/>
  <c r="J53" i="6" s="1"/>
  <c r="G52" i="6"/>
  <c r="H52" i="6" s="1"/>
  <c r="J52" i="6" s="1"/>
  <c r="G51" i="6"/>
  <c r="H51" i="6" s="1"/>
  <c r="J51" i="6" s="1"/>
  <c r="G50" i="6"/>
  <c r="H50" i="6" s="1"/>
  <c r="J50" i="6" s="1"/>
  <c r="G49" i="6"/>
  <c r="H49" i="6" s="1"/>
  <c r="J49" i="6" s="1"/>
  <c r="G48" i="6"/>
  <c r="H48" i="6" s="1"/>
  <c r="J48" i="6" s="1"/>
  <c r="G47" i="6"/>
  <c r="H47" i="6" s="1"/>
  <c r="J47" i="6" s="1"/>
  <c r="G46" i="6"/>
  <c r="H46" i="6" s="1"/>
  <c r="J46" i="6" s="1"/>
  <c r="G45" i="6"/>
  <c r="H45" i="6" s="1"/>
  <c r="J45" i="6" s="1"/>
  <c r="G44" i="6"/>
  <c r="H44" i="6" s="1"/>
  <c r="J44" i="6" s="1"/>
  <c r="G43" i="6"/>
  <c r="H43" i="6" s="1"/>
  <c r="J43" i="6" s="1"/>
  <c r="G42" i="6"/>
  <c r="H42" i="6" s="1"/>
  <c r="J42" i="6" s="1"/>
  <c r="G41" i="6"/>
  <c r="H41" i="6" s="1"/>
  <c r="J41" i="6" s="1"/>
  <c r="G40" i="6"/>
  <c r="H40" i="6" s="1"/>
  <c r="J40" i="6" s="1"/>
  <c r="G39" i="6"/>
  <c r="H39" i="6" s="1"/>
  <c r="J39" i="6" s="1"/>
  <c r="G38" i="6"/>
  <c r="H38" i="6" s="1"/>
  <c r="J38" i="6" s="1"/>
  <c r="G37" i="6"/>
  <c r="H37" i="6" s="1"/>
  <c r="J37" i="6" s="1"/>
  <c r="G36" i="6"/>
  <c r="H36" i="6" s="1"/>
  <c r="J36" i="6" s="1"/>
  <c r="G35" i="6"/>
  <c r="H35" i="6" s="1"/>
  <c r="J35" i="6" s="1"/>
  <c r="G34" i="6"/>
  <c r="H34" i="6" s="1"/>
  <c r="J34" i="6" s="1"/>
  <c r="G33" i="6"/>
  <c r="H33" i="6" s="1"/>
  <c r="J33" i="6" s="1"/>
  <c r="G32" i="6"/>
  <c r="H32" i="6" s="1"/>
  <c r="J32" i="6" s="1"/>
  <c r="G31" i="6"/>
  <c r="H31" i="6" s="1"/>
  <c r="J31" i="6" s="1"/>
  <c r="G30" i="6"/>
  <c r="H30" i="6" s="1"/>
  <c r="J30" i="6" s="1"/>
  <c r="G29" i="6"/>
  <c r="H29" i="6" s="1"/>
  <c r="J29" i="6" s="1"/>
  <c r="G28" i="6"/>
  <c r="H28" i="6" s="1"/>
  <c r="J28" i="6" s="1"/>
  <c r="G27" i="6"/>
  <c r="H27" i="6" s="1"/>
  <c r="J27" i="6" s="1"/>
  <c r="G26" i="6"/>
  <c r="H26" i="6" s="1"/>
  <c r="J26" i="6" s="1"/>
  <c r="G25" i="6"/>
  <c r="H25" i="6" s="1"/>
  <c r="J25" i="6" s="1"/>
  <c r="G24" i="6"/>
  <c r="H24" i="6" s="1"/>
  <c r="J24" i="6" s="1"/>
  <c r="G23" i="6"/>
  <c r="H23" i="6" s="1"/>
  <c r="J23" i="6" s="1"/>
  <c r="G22" i="6"/>
  <c r="H22" i="6" s="1"/>
  <c r="J22" i="6" s="1"/>
  <c r="G21" i="6"/>
  <c r="H21" i="6" s="1"/>
  <c r="J21" i="6" s="1"/>
  <c r="G20" i="6"/>
  <c r="H20" i="6" s="1"/>
  <c r="J20" i="6" s="1"/>
  <c r="G19" i="6"/>
  <c r="H19" i="6" s="1"/>
  <c r="J19" i="6" s="1"/>
  <c r="G18" i="6"/>
  <c r="H18" i="6" s="1"/>
  <c r="J18" i="6" s="1"/>
  <c r="G17" i="6"/>
  <c r="H17" i="6" s="1"/>
  <c r="J17" i="6" s="1"/>
  <c r="G16" i="6"/>
  <c r="H16" i="6" s="1"/>
  <c r="J16" i="6" s="1"/>
  <c r="G15" i="6"/>
  <c r="H15" i="6" s="1"/>
  <c r="J15" i="6" s="1"/>
  <c r="G14" i="6"/>
  <c r="H14" i="6" s="1"/>
  <c r="J14" i="6" s="1"/>
  <c r="G13" i="6"/>
  <c r="H13" i="6" s="1"/>
  <c r="J13" i="6" s="1"/>
  <c r="G12" i="6"/>
  <c r="H12" i="6" s="1"/>
  <c r="J12" i="6" s="1"/>
  <c r="G11" i="6"/>
  <c r="H11" i="6" s="1"/>
  <c r="J11" i="6" s="1"/>
  <c r="G10" i="6"/>
  <c r="H10" i="6" s="1"/>
  <c r="J10" i="6" s="1"/>
  <c r="G9" i="6"/>
  <c r="H9" i="6" s="1"/>
  <c r="J9" i="6" s="1"/>
  <c r="G8" i="6"/>
  <c r="H8" i="6" s="1"/>
  <c r="J8" i="6" s="1"/>
  <c r="H7" i="6"/>
  <c r="J7" i="6" s="1"/>
  <c r="F2" i="5"/>
  <c r="F1" i="5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N11" i="1"/>
  <c r="N7" i="1"/>
  <c r="N13" i="1"/>
  <c r="N12" i="1"/>
  <c r="N10" i="1"/>
  <c r="N9" i="1"/>
  <c r="N8" i="1"/>
  <c r="J66" i="6" l="1"/>
  <c r="C41" i="1"/>
  <c r="N73" i="8"/>
  <c r="N74" i="8"/>
  <c r="A30" i="1"/>
  <c r="A31" i="1" s="1"/>
  <c r="D14" i="1"/>
  <c r="G14" i="1" s="1"/>
  <c r="N43" i="7"/>
  <c r="F3" i="5"/>
  <c r="N54" i="7"/>
  <c r="F16" i="1" s="1"/>
  <c r="K16" i="1" s="1"/>
  <c r="X11" i="1"/>
  <c r="D18" i="1"/>
  <c r="G18" i="1" s="1"/>
  <c r="N52" i="7"/>
  <c r="F14" i="1" s="1"/>
  <c r="N53" i="7"/>
  <c r="F15" i="1" s="1"/>
  <c r="D6" i="1"/>
  <c r="G6" i="1" s="1"/>
  <c r="D22" i="1"/>
  <c r="G22" i="1" s="1"/>
  <c r="D10" i="1"/>
  <c r="G10" i="1" s="1"/>
  <c r="D26" i="1"/>
  <c r="G26" i="1" s="1"/>
  <c r="N41" i="7"/>
  <c r="N42" i="7"/>
  <c r="D7" i="1"/>
  <c r="G7" i="1" s="1"/>
  <c r="D11" i="1"/>
  <c r="D15" i="1"/>
  <c r="G15" i="1" s="1"/>
  <c r="D19" i="1"/>
  <c r="G19" i="1" s="1"/>
  <c r="D23" i="1"/>
  <c r="G23" i="1" s="1"/>
  <c r="D27" i="1"/>
  <c r="G27" i="1" s="1"/>
  <c r="D8" i="1"/>
  <c r="G8" i="1" s="1"/>
  <c r="D12" i="1"/>
  <c r="G12" i="1" s="1"/>
  <c r="D16" i="1"/>
  <c r="G16" i="1" s="1"/>
  <c r="D20" i="1"/>
  <c r="G20" i="1" s="1"/>
  <c r="D24" i="1"/>
  <c r="G24" i="1" s="1"/>
  <c r="D28" i="1"/>
  <c r="G28" i="1" s="1"/>
  <c r="H28" i="1" s="1"/>
  <c r="D9" i="1"/>
  <c r="G9" i="1" s="1"/>
  <c r="D13" i="1"/>
  <c r="G13" i="1" s="1"/>
  <c r="D17" i="1"/>
  <c r="G17" i="1" s="1"/>
  <c r="D21" i="1"/>
  <c r="G21" i="1" s="1"/>
  <c r="D25" i="1"/>
  <c r="G25" i="1" s="1"/>
  <c r="K9" i="1"/>
  <c r="K13" i="1"/>
  <c r="K17" i="1"/>
  <c r="K21" i="1"/>
  <c r="K25" i="1"/>
  <c r="K6" i="1"/>
  <c r="K10" i="1"/>
  <c r="K18" i="1"/>
  <c r="K22" i="1"/>
  <c r="K26" i="1"/>
  <c r="K7" i="1"/>
  <c r="K11" i="1"/>
  <c r="K15" i="1"/>
  <c r="K19" i="1"/>
  <c r="K23" i="1"/>
  <c r="K27" i="1"/>
  <c r="K8" i="1"/>
  <c r="K12" i="1"/>
  <c r="K20" i="1"/>
  <c r="K24" i="1"/>
  <c r="K28" i="1"/>
  <c r="F41" i="1" l="1"/>
  <c r="G11" i="1"/>
  <c r="H11" i="1" s="1"/>
  <c r="D41" i="1"/>
  <c r="G41" i="1" s="1"/>
  <c r="K14" i="1"/>
  <c r="K41" i="1" s="1"/>
  <c r="B72" i="1"/>
  <c r="H23" i="1"/>
  <c r="H26" i="1"/>
  <c r="H10" i="1"/>
  <c r="H24" i="1"/>
  <c r="H8" i="1"/>
  <c r="H13" i="1"/>
  <c r="H19" i="1"/>
  <c r="H22" i="1"/>
  <c r="H6" i="1"/>
  <c r="T6" i="1" s="1"/>
  <c r="H20" i="1"/>
  <c r="H25" i="1"/>
  <c r="H9" i="1"/>
  <c r="H7" i="1"/>
  <c r="H15" i="1"/>
  <c r="H18" i="1"/>
  <c r="H16" i="1"/>
  <c r="T16" i="1" s="1"/>
  <c r="H21" i="1"/>
  <c r="H27" i="1"/>
  <c r="H14" i="1"/>
  <c r="H12" i="1"/>
  <c r="H17" i="1"/>
  <c r="H41" i="1" l="1"/>
  <c r="C73" i="1"/>
  <c r="B73" i="1"/>
  <c r="C72" i="1"/>
  <c r="T11" i="1"/>
  <c r="I17" i="1"/>
  <c r="T17" i="1"/>
  <c r="I18" i="1"/>
  <c r="T18" i="1"/>
  <c r="I25" i="1"/>
  <c r="T25" i="1"/>
  <c r="I19" i="1"/>
  <c r="T19" i="1"/>
  <c r="I14" i="1"/>
  <c r="T14" i="1"/>
  <c r="I16" i="1"/>
  <c r="I9" i="1"/>
  <c r="T9" i="1"/>
  <c r="I22" i="1"/>
  <c r="T22" i="1"/>
  <c r="I24" i="1"/>
  <c r="T24" i="1"/>
  <c r="I10" i="1"/>
  <c r="T10" i="1"/>
  <c r="I28" i="1"/>
  <c r="T28" i="1"/>
  <c r="I21" i="1"/>
  <c r="T21" i="1"/>
  <c r="I7" i="1"/>
  <c r="T7" i="1"/>
  <c r="I6" i="1"/>
  <c r="I8" i="1"/>
  <c r="T8" i="1"/>
  <c r="I23" i="1"/>
  <c r="T23" i="1"/>
  <c r="I12" i="1"/>
  <c r="T12" i="1"/>
  <c r="I27" i="1"/>
  <c r="T27" i="1"/>
  <c r="I15" i="1"/>
  <c r="T15" i="1"/>
  <c r="I20" i="1"/>
  <c r="T20" i="1"/>
  <c r="I13" i="1"/>
  <c r="T13" i="1"/>
  <c r="I26" i="1"/>
  <c r="T26" i="1"/>
  <c r="I11" i="1"/>
  <c r="I41" i="1" l="1"/>
  <c r="J26" i="1"/>
  <c r="V26" i="1"/>
  <c r="J20" i="1"/>
  <c r="V20" i="1"/>
  <c r="J23" i="1"/>
  <c r="V23" i="1"/>
  <c r="J21" i="1"/>
  <c r="V21" i="1"/>
  <c r="J10" i="1"/>
  <c r="V10" i="1"/>
  <c r="J22" i="1"/>
  <c r="V22" i="1"/>
  <c r="J16" i="1"/>
  <c r="V16" i="1"/>
  <c r="J19" i="1"/>
  <c r="V19" i="1"/>
  <c r="J18" i="1"/>
  <c r="V18" i="1"/>
  <c r="J27" i="1"/>
  <c r="V27" i="1"/>
  <c r="J6" i="1"/>
  <c r="V6" i="1"/>
  <c r="J11" i="1"/>
  <c r="V11" i="1"/>
  <c r="J13" i="1"/>
  <c r="V13" i="1"/>
  <c r="J15" i="1"/>
  <c r="V15" i="1"/>
  <c r="J12" i="1"/>
  <c r="V12" i="1"/>
  <c r="J8" i="1"/>
  <c r="V8" i="1"/>
  <c r="J7" i="1"/>
  <c r="V7" i="1"/>
  <c r="J28" i="1"/>
  <c r="V28" i="1"/>
  <c r="J24" i="1"/>
  <c r="V24" i="1"/>
  <c r="J9" i="1"/>
  <c r="V9" i="1"/>
  <c r="J14" i="1"/>
  <c r="V14" i="1"/>
  <c r="J25" i="1"/>
  <c r="V25" i="1"/>
  <c r="J17" i="1"/>
  <c r="V17" i="1"/>
  <c r="J41" i="1" l="1"/>
</calcChain>
</file>

<file path=xl/sharedStrings.xml><?xml version="1.0" encoding="utf-8"?>
<sst xmlns="http://schemas.openxmlformats.org/spreadsheetml/2006/main" count="2353" uniqueCount="436">
  <si>
    <t>Year</t>
  </si>
  <si>
    <t>Net evap</t>
  </si>
  <si>
    <t>AF</t>
  </si>
  <si>
    <t>Courtland Canal</t>
  </si>
  <si>
    <t>WRC</t>
  </si>
  <si>
    <t>YEAR</t>
  </si>
  <si>
    <r>
      <t>Monthly mean streamflow, in ft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/s</t>
    </r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</si>
  <si>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</si>
  <si>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</si>
  <si>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</si>
  <si>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</si>
  <si>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</si>
  <si>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</si>
  <si>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</si>
  <si>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</si>
  <si>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</si>
  <si>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</si>
  <si>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</si>
  <si>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</si>
  <si>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Mean of</t>
  </si>
  <si>
    <t>monthly</t>
  </si>
  <si>
    <t>streamflows</t>
  </si>
  <si>
    <t>WRC at Burr Oak</t>
  </si>
  <si>
    <t>WRC below lovewell</t>
  </si>
  <si>
    <t>Annual</t>
  </si>
  <si>
    <t>USGS</t>
  </si>
  <si>
    <t>(approx)</t>
  </si>
  <si>
    <t>% RR</t>
  </si>
  <si>
    <t xml:space="preserve">RR diversion to </t>
  </si>
  <si>
    <t>cell 270</t>
  </si>
  <si>
    <t>From NE's</t>
  </si>
  <si>
    <t>From CourtlandAvLove</t>
  </si>
  <si>
    <t>in Accounting spreadsheet</t>
  </si>
  <si>
    <t>Burr Oak</t>
  </si>
  <si>
    <t>Attachment 7</t>
  </si>
  <si>
    <t>Accounting</t>
  </si>
  <si>
    <t>Gage below</t>
  </si>
  <si>
    <t>Lovewell</t>
  </si>
  <si>
    <t>ReservoirNetEvapxx.xls</t>
  </si>
  <si>
    <t>jan</t>
  </si>
  <si>
    <t>sec/day</t>
  </si>
  <si>
    <t>feb</t>
  </si>
  <si>
    <t>sq.ft/acre</t>
  </si>
  <si>
    <t>mar</t>
  </si>
  <si>
    <t>afd/cfs</t>
  </si>
  <si>
    <t>apr</t>
  </si>
  <si>
    <t>may</t>
  </si>
  <si>
    <t>drainage</t>
  </si>
  <si>
    <t>gage</t>
  </si>
  <si>
    <t>jun</t>
  </si>
  <si>
    <t>area sqmi</t>
  </si>
  <si>
    <t>datum ft asl</t>
  </si>
  <si>
    <t>jul</t>
  </si>
  <si>
    <t>A2</t>
  </si>
  <si>
    <t>USGS 06854000 WHITE ROCK C AT LOVEWELL, KS</t>
  </si>
  <si>
    <t>aug</t>
  </si>
  <si>
    <t>A1</t>
  </si>
  <si>
    <t>USGS 06853800 WHITE ROCK C NR BURR OAK, KS</t>
  </si>
  <si>
    <t>sep</t>
  </si>
  <si>
    <t>ratio c=a2/a1</t>
  </si>
  <si>
    <t>oct</t>
  </si>
  <si>
    <t>nov</t>
  </si>
  <si>
    <t>dec</t>
  </si>
  <si>
    <t>agency_cd</t>
  </si>
  <si>
    <t>site_no</t>
  </si>
  <si>
    <t>parameter_cd</t>
  </si>
  <si>
    <t>ts_id</t>
  </si>
  <si>
    <t>year_nu</t>
  </si>
  <si>
    <t>mean_va</t>
  </si>
  <si>
    <t>#</t>
  </si>
  <si>
    <t>5s</t>
  </si>
  <si>
    <t>15s</t>
  </si>
  <si>
    <t>3n</t>
  </si>
  <si>
    <t>4s</t>
  </si>
  <si>
    <t>12n</t>
  </si>
  <si>
    <t>days</t>
  </si>
  <si>
    <t>flow AF</t>
  </si>
  <si>
    <t># US Geological Survey, Water Resources Data</t>
  </si>
  <si>
    <t># This file contains USGS Surface-Water Annual Statistics</t>
  </si>
  <si>
    <t># Note:The statistics generated from  this site are based on approved daily-mean data and may not match those published by the USGS in official publications.</t>
  </si>
  <si>
    <t># The user is responsible for assessment and use of statistics from this site.</t>
  </si>
  <si>
    <t># For more details on why the statistics may not match, visit https://waterdata.usgs.gov/ks/nwis/?dv_statistics_disclaimer.</t>
  </si>
  <si>
    <t># This file includes the following columns:</t>
  </si>
  <si>
    <t># agency_cd  agency code</t>
  </si>
  <si>
    <t># site_no    USGS site number</t>
  </si>
  <si>
    <t># parameter_cd</t>
  </si>
  <si>
    <t># ts_id</t>
  </si>
  <si>
    <t># mean_va    annual-mean value.</t>
  </si>
  <si>
    <t>#             if there is not complete record</t>
  </si>
  <si>
    <t>#             for a year this field is blank</t>
  </si>
  <si>
    <t># Sites in this file include:</t>
  </si>
  <si>
    <t># USGS 06853800 WHITE ROCK C NR BURR OAK, KS</t>
  </si>
  <si>
    <t xml:space="preserve"># </t>
  </si>
  <si>
    <t xml:space="preserve"># Explanation of Parameter Code and ts_id used in the Statistics Data </t>
  </si>
  <si>
    <t># parameter_cd  Parameter Name                                  ts_id   Location Name</t>
  </si>
  <si>
    <t xml:space="preserve"># 00060         Discharge, cubic feet per second                54716   </t>
  </si>
  <si>
    <t>TOTAL COURTLAND CANAL FLOW</t>
  </si>
  <si>
    <t xml:space="preserve">                INTO LOVEWELL RESERVOIR (MILE 34.8)</t>
  </si>
  <si>
    <t>Monthly Diversions (acre-feet)</t>
  </si>
  <si>
    <t>Total</t>
  </si>
  <si>
    <t>TOTAL</t>
  </si>
  <si>
    <t>AVG.</t>
  </si>
  <si>
    <t xml:space="preserve">from file </t>
  </si>
  <si>
    <t>KS-BOST3MWD.xlsx, sheet C-BELOW [removed blank rows]</t>
  </si>
  <si>
    <t>COURTLAND CANAL - KANSAS (Below)</t>
  </si>
  <si>
    <t>Monthly Diversions</t>
  </si>
  <si>
    <t>(acre-feet)</t>
  </si>
  <si>
    <t>Courtland Canal, Mile 38.0</t>
  </si>
  <si>
    <t xml:space="preserve">     Page #1</t>
  </si>
  <si>
    <t>USGS [3]</t>
  </si>
  <si>
    <t>RR/</t>
  </si>
  <si>
    <t>(RR+c*WRC)</t>
  </si>
  <si>
    <t>c=A2/A1</t>
  </si>
  <si>
    <t>Evap*RR/</t>
  </si>
  <si>
    <t>RR+c*WRC</t>
  </si>
  <si>
    <t>outflow af</t>
  </si>
  <si>
    <t>EvapRR</t>
  </si>
  <si>
    <t>charge to RR af</t>
  </si>
  <si>
    <t>LVKS</t>
  </si>
  <si>
    <t xml:space="preserve">      JAN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</si>
  <si>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</si>
  <si>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</si>
  <si>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</si>
  <si>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</si>
  <si>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</si>
  <si>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</si>
  <si>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</si>
  <si>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</si>
  <si>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</si>
  <si>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</si>
  <si>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</si>
  <si>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TOTAL</t>
  </si>
  <si>
    <t>WRC div to</t>
  </si>
  <si>
    <t>lower dist.</t>
  </si>
  <si>
    <t xml:space="preserve">RR Inflow from </t>
  </si>
  <si>
    <t>BOR [2]</t>
  </si>
  <si>
    <t>BOR [4]</t>
  </si>
  <si>
    <t>BOR [5]</t>
  </si>
  <si>
    <t>max(f-e)</t>
  </si>
  <si>
    <t>Outflow to</t>
  </si>
  <si>
    <t>lower district</t>
  </si>
  <si>
    <t>WRC at</t>
  </si>
  <si>
    <t>White Rock C at Burr Oak</t>
  </si>
  <si>
    <t>RR</t>
  </si>
  <si>
    <t>Diversions to Lower District (avg 2000-2016)</t>
  </si>
  <si>
    <t>Inflows to Lovewell</t>
  </si>
  <si>
    <t>a. c=1</t>
  </si>
  <si>
    <t>[orig]</t>
  </si>
  <si>
    <t>WRC Spill</t>
  </si>
  <si>
    <t>days/mo:</t>
  </si>
  <si>
    <t>sqft/acre</t>
  </si>
  <si>
    <t>Annual AF</t>
  </si>
  <si>
    <t>https://waterdata.usgs.gov/ks/nwis/monthly?referred_module=sw&amp;amp;site_no=06853800&amp;amp;por_06853800_54716=92218,00060,54716,1957-10,2018-04&amp;amp;start_dt=2000-01&amp;amp;end_dt=2017-12&amp;amp;partial_periods=on&amp;amp;format=html_table&amp;amp;date_format=YYYY-MM-DD&amp;amp;rdb_compression=file&amp;amp;submitted_form=parameter_selection_list</t>
  </si>
  <si>
    <t>source:</t>
  </si>
  <si>
    <t>ratios</t>
  </si>
  <si>
    <t>units</t>
  </si>
  <si>
    <t>sum over</t>
  </si>
  <si>
    <t>compare:</t>
  </si>
  <si>
    <t>discrep af</t>
  </si>
  <si>
    <t># retrieved: 2018-06-04 12:55:56 EDT      (sdww02)</t>
  </si>
  <si>
    <t># ** Incomplete data have been used for statistical calculation</t>
  </si>
  <si>
    <t># year_nu    Calendar year for value</t>
  </si>
  <si>
    <t>https://waterdata.usgs.gov/ks/nwis/annual/?referred_module=sw&amp;amp;site_no=06853800&amp;amp;por_06853800_54716=92218,00060,54716,1958,2018&amp;amp;partial_periods=on&amp;amp;year_type=C&amp;amp;format=rdb&amp;amp;date_format=MM/DD/YYYY&amp;amp;rdb_compression=value&amp;amp;submitted_form=parameter_selection_list</t>
  </si>
  <si>
    <t>[make sure calendar year is specified, not water year]</t>
  </si>
  <si>
    <t>year</t>
  </si>
  <si>
    <t>Lovewell ops</t>
  </si>
  <si>
    <t>Net Evap E - P</t>
  </si>
  <si>
    <t>rr/(rr+wrc)</t>
  </si>
  <si>
    <t>from Lovewell_Ops_2004-2016_review.xls</t>
  </si>
  <si>
    <t>in  c:\rrca\ec\Lovewell\Ops_review</t>
  </si>
  <si>
    <t>RR diversion</t>
  </si>
  <si>
    <t>to lower cc</t>
  </si>
  <si>
    <t>proposed</t>
  </si>
  <si>
    <t xml:space="preserve"> - original</t>
  </si>
  <si>
    <t>inflow from</t>
  </si>
  <si>
    <t>Courtland</t>
  </si>
  <si>
    <t>discrep</t>
  </si>
  <si>
    <t>[1]</t>
  </si>
  <si>
    <t>[2]</t>
  </si>
  <si>
    <t>[3]</t>
  </si>
  <si>
    <t>[1]:</t>
  </si>
  <si>
    <t>[2]:</t>
  </si>
  <si>
    <t>[3]:</t>
  </si>
  <si>
    <t>row 270</t>
  </si>
  <si>
    <t>row 269</t>
  </si>
  <si>
    <t>Courtland Canal Deliveries To Lovewell Reservoir</t>
  </si>
  <si>
    <t>Diversions of Republican River water from Lovewell Reservoir to the Courtland Canal below Lovewell</t>
  </si>
  <si>
    <t>Lovewell net Evaporation *RR inflow / (RR inflow + WRC inflow)</t>
  </si>
  <si>
    <t>Min (RR - EvapRR, Out)</t>
  </si>
  <si>
    <t>Lower Bostwick</t>
  </si>
  <si>
    <t>LVKS Outflow to Courtland</t>
  </si>
  <si>
    <t>RR Inflow to LVKS</t>
  </si>
  <si>
    <t>RR diversion to lower Bostwick</t>
  </si>
  <si>
    <t>RR Evap charge (inflow split)</t>
  </si>
  <si>
    <t>Inflow to Lovewell</t>
  </si>
  <si>
    <t>vol. afy</t>
  </si>
  <si>
    <t>mi</t>
  </si>
  <si>
    <t>hr</t>
  </si>
  <si>
    <t>mi/hr</t>
  </si>
  <si>
    <t>min</t>
  </si>
  <si>
    <t>min/hr</t>
  </si>
  <si>
    <t>Assume all spills are from White Rock Creek water.</t>
  </si>
  <si>
    <t>Then RR diversions to lower district are the minimum of:</t>
  </si>
  <si>
    <t>1) RR inflow to Lovewell minus RR evap charge;</t>
  </si>
  <si>
    <t>2) outflow to the lower district</t>
  </si>
  <si>
    <t>Diversion to Courtland below Lovewell</t>
  </si>
  <si>
    <t>[1-3] Data from this sheet are entered on the following lines of sheet Input, RRCA Compliance Accounting:</t>
  </si>
  <si>
    <t>EC</t>
  </si>
  <si>
    <t>228 [1]</t>
  </si>
  <si>
    <t>270 [2]</t>
  </si>
  <si>
    <t>269 [3]</t>
  </si>
  <si>
    <t>row 228</t>
  </si>
  <si>
    <t>2000-2018:</t>
  </si>
  <si>
    <t>https://waterdata.usgs.gov/ks/nwis/inventory/?site_no=06853800</t>
  </si>
  <si>
    <t># --</t>
  </si>
  <si>
    <t>--------------------</t>
  </si>
  <si>
    <t># So</t>
  </si>
  <si>
    <t>me of the data that</t>
  </si>
  <si>
    <t># ma</t>
  </si>
  <si>
    <t>y not have received</t>
  </si>
  <si>
    <t># as</t>
  </si>
  <si>
    <t>provisional and are</t>
  </si>
  <si>
    <t># co</t>
  </si>
  <si>
    <t>ndition that neither</t>
  </si>
  <si>
    <t># fo</t>
  </si>
  <si>
    <t>r any damages result</t>
  </si>
  <si>
    <t># Ad</t>
  </si>
  <si>
    <t>ditional info: https</t>
  </si>
  <si>
    <t># Fi</t>
  </si>
  <si>
    <t>le-format descriptio</t>
  </si>
  <si>
    <t># Au</t>
  </si>
  <si>
    <t>tomated-retrieval in</t>
  </si>
  <si>
    <t># Co</t>
  </si>
  <si>
    <t>ntact:   gs-w_suppor</t>
  </si>
  <si>
    <t># re</t>
  </si>
  <si>
    <t>trieved: 2021-03-31</t>
  </si>
  <si>
    <t># Da</t>
  </si>
  <si>
    <t>ta for the following</t>
  </si>
  <si>
    <t>USGS 06853800 WHITE</t>
  </si>
  <si>
    <t>KS</t>
  </si>
  <si>
    <t>ta provided for site</t>
  </si>
  <si>
    <t>TS   parame</t>
  </si>
  <si>
    <t>ta-value qualificati</t>
  </si>
  <si>
    <t>A  Approved for pu</t>
  </si>
  <si>
    <t>P  Provisional dat</t>
  </si>
  <si>
    <t>n.</t>
  </si>
  <si>
    <t>e  Value has been</t>
  </si>
  <si>
    <t>estimated.</t>
  </si>
  <si>
    <t>agen</t>
  </si>
  <si>
    <t>cy_cd       site_no</t>
  </si>
  <si>
    <t>datetime</t>
  </si>
  <si>
    <t>15s     20d</t>
  </si>
  <si>
    <t>A:e</t>
  </si>
  <si>
    <t>A</t>
  </si>
  <si>
    <t>P</t>
  </si>
  <si>
    <t>P:e</t>
  </si>
  <si>
    <t>------------</t>
  </si>
  <si>
    <t>WARNING</t>
  </si>
  <si>
    <t>----------------------------------------</t>
  </si>
  <si>
    <t>you have obt</t>
  </si>
  <si>
    <t>ained fr</t>
  </si>
  <si>
    <t>om this U.S. Geological Survey database</t>
  </si>
  <si>
    <t>Director's a</t>
  </si>
  <si>
    <t>pproval.</t>
  </si>
  <si>
    <t>Any such data values are qualified</t>
  </si>
  <si>
    <t>subject to</t>
  </si>
  <si>
    <t>revision</t>
  </si>
  <si>
    <t>. Provisional data are released on the</t>
  </si>
  <si>
    <t>the USGS no</t>
  </si>
  <si>
    <t>r the Un</t>
  </si>
  <si>
    <t>ited States Government may be held liable</t>
  </si>
  <si>
    <t>ing from its</t>
  </si>
  <si>
    <t>use.</t>
  </si>
  <si>
    <t>://help.wate</t>
  </si>
  <si>
    <t>rdata.us</t>
  </si>
  <si>
    <t>gs.gov/policies/provisional-data-statement</t>
  </si>
  <si>
    <t>n:  https://</t>
  </si>
  <si>
    <t>help.wat</t>
  </si>
  <si>
    <t>erdata.usgs.gov/faq/about-tab-delimited-output</t>
  </si>
  <si>
    <t>fo: https://</t>
  </si>
  <si>
    <t>erdata.usgs.gov/faq/automated-retrievals</t>
  </si>
  <si>
    <t>t_nwisweb@us</t>
  </si>
  <si>
    <t>gs.gov</t>
  </si>
  <si>
    <t>18:59:18 EDT</t>
  </si>
  <si>
    <t>(</t>
  </si>
  <si>
    <t>caww01)</t>
  </si>
  <si>
    <t>1 site(s) a</t>
  </si>
  <si>
    <t>re conta</t>
  </si>
  <si>
    <t>ined in this file</t>
  </si>
  <si>
    <t>ROCK C NR B</t>
  </si>
  <si>
    <t>URR OAK,</t>
  </si>
  <si>
    <t>--------</t>
  </si>
  <si>
    <t>-----------------------------------------</t>
  </si>
  <si>
    <t>ter     stat</t>
  </si>
  <si>
    <t>istic</t>
  </si>
  <si>
    <t>Description</t>
  </si>
  <si>
    <t>54716       00</t>
  </si>
  <si>
    <t>060     0000</t>
  </si>
  <si>
    <t>3     Di</t>
  </si>
  <si>
    <t>scharge, cubic feet per second (Mean)</t>
  </si>
  <si>
    <t>on codes inc</t>
  </si>
  <si>
    <t>luded in</t>
  </si>
  <si>
    <t>this output:</t>
  </si>
  <si>
    <t>blication --</t>
  </si>
  <si>
    <t>Process</t>
  </si>
  <si>
    <t>ing and review completed.</t>
  </si>
  <si>
    <t>a subject to</t>
  </si>
  <si>
    <t>revisio</t>
  </si>
  <si>
    <t>6_00060_00003       54716_00060_00003_cd</t>
  </si>
  <si>
    <t>14n     10s</t>
  </si>
  <si>
    <t># retrieved: 2021-03-31 19:25:59 EDT      (caww01)</t>
  </si>
  <si>
    <t># ** No Incomplete data have been used for statistical calculation</t>
  </si>
  <si>
    <t># year_nu    Water year for value</t>
  </si>
  <si>
    <t>Parameter Name</t>
  </si>
  <si>
    <t>Location Name</t>
  </si>
  <si>
    <t># 00060</t>
  </si>
  <si>
    <t>Discharge, cubic feet per second</t>
  </si>
  <si>
    <t>2000-2020:</t>
  </si>
  <si>
    <t># Sites</t>
  </si>
  <si>
    <t>in this file include:</t>
  </si>
  <si>
    <t># USGS 0</t>
  </si>
  <si>
    <t>6853800 WHITE ROCK C NR</t>
  </si>
  <si>
    <t>BURR</t>
  </si>
  <si>
    <t>OAK, KS</t>
  </si>
  <si>
    <t># Explan</t>
  </si>
  <si>
    <t>ation of Parameter Code</t>
  </si>
  <si>
    <t>and t</t>
  </si>
  <si>
    <t>s_id used</t>
  </si>
  <si>
    <t>in the St</t>
  </si>
  <si>
    <t>atistics Data</t>
  </si>
  <si>
    <t># parame</t>
  </si>
  <si>
    <t>ter_cd  Parameter Name</t>
  </si>
  <si>
    <t>ts_id   Location Name</t>
  </si>
  <si>
    <t>Discharge, cubic</t>
  </si>
  <si>
    <t>feet</t>
  </si>
  <si>
    <t>per seco</t>
  </si>
  <si>
    <t>nd</t>
  </si>
  <si>
    <t>agency_c</t>
  </si>
  <si>
    <t>d       site_no paramete</t>
  </si>
  <si>
    <t>r_cd</t>
  </si>
  <si>
    <t>month_nu        mean_va</t>
  </si>
  <si>
    <t>15s     5s      3n</t>
  </si>
  <si>
    <t>2s</t>
  </si>
  <si>
    <t>06853800        00060</t>
  </si>
  <si>
    <t>on</t>
  </si>
  <si>
    <t>US</t>
  </si>
  <si>
    <t>Geological</t>
  </si>
  <si>
    <t>Survey,</t>
  </si>
  <si>
    <t>Water</t>
  </si>
  <si>
    <t>Resources</t>
  </si>
  <si>
    <t>Data</t>
  </si>
  <si>
    <t>retrieved:</t>
  </si>
  <si>
    <t>EDT</t>
  </si>
  <si>
    <t>(caww01)</t>
  </si>
  <si>
    <t>This</t>
  </si>
  <si>
    <t>file</t>
  </si>
  <si>
    <t>contains</t>
  </si>
  <si>
    <t>Surface-Water</t>
  </si>
  <si>
    <t>Statistics</t>
  </si>
  <si>
    <t>Note:The</t>
  </si>
  <si>
    <t>statistics</t>
  </si>
  <si>
    <t>generated</t>
  </si>
  <si>
    <t>from</t>
  </si>
  <si>
    <t>this</t>
  </si>
  <si>
    <t>site</t>
  </si>
  <si>
    <t>are</t>
  </si>
  <si>
    <t>based</t>
  </si>
  <si>
    <t>approved</t>
  </si>
  <si>
    <t>daily-mean</t>
  </si>
  <si>
    <t>data</t>
  </si>
  <si>
    <t>and</t>
  </si>
  <si>
    <t>not</t>
  </si>
  <si>
    <t>match</t>
  </si>
  <si>
    <t>those</t>
  </si>
  <si>
    <t>published</t>
  </si>
  <si>
    <t>by</t>
  </si>
  <si>
    <t>the</t>
  </si>
  <si>
    <t>in</t>
  </si>
  <si>
    <t>official</t>
  </si>
  <si>
    <t>publications.</t>
  </si>
  <si>
    <t>The</t>
  </si>
  <si>
    <t>user</t>
  </si>
  <si>
    <t>is</t>
  </si>
  <si>
    <t>responsible</t>
  </si>
  <si>
    <t>for</t>
  </si>
  <si>
    <t>assessment</t>
  </si>
  <si>
    <t>use</t>
  </si>
  <si>
    <t>of</t>
  </si>
  <si>
    <t>site.</t>
  </si>
  <si>
    <t>For</t>
  </si>
  <si>
    <t>more</t>
  </si>
  <si>
    <t>details</t>
  </si>
  <si>
    <t>why</t>
  </si>
  <si>
    <t>match,</t>
  </si>
  <si>
    <t>visit</t>
  </si>
  <si>
    <t>https://waterdata.usgs.gov/nwis/?dv_statistics_disclaimer.</t>
  </si>
  <si>
    <t>**</t>
  </si>
  <si>
    <t>No</t>
  </si>
  <si>
    <t>Incomplete</t>
  </si>
  <si>
    <t>have</t>
  </si>
  <si>
    <t>been</t>
  </si>
  <si>
    <t>used</t>
  </si>
  <si>
    <t>statistical</t>
  </si>
  <si>
    <t>calculation</t>
  </si>
  <si>
    <t>includes</t>
  </si>
  <si>
    <t>following</t>
  </si>
  <si>
    <t>columns:</t>
  </si>
  <si>
    <t>agency</t>
  </si>
  <si>
    <t>code</t>
  </si>
  <si>
    <t>number</t>
  </si>
  <si>
    <t>value</t>
  </si>
  <si>
    <t>annual-mean</t>
  </si>
  <si>
    <t>value.</t>
  </si>
  <si>
    <t>if</t>
  </si>
  <si>
    <t>there</t>
  </si>
  <si>
    <t>complete</t>
  </si>
  <si>
    <t>record</t>
  </si>
  <si>
    <t>a</t>
  </si>
  <si>
    <t>field</t>
  </si>
  <si>
    <t>blank</t>
  </si>
  <si>
    <t>Sites</t>
  </si>
  <si>
    <t>include:</t>
  </si>
  <si>
    <t>WHITE</t>
  </si>
  <si>
    <t>ROCK</t>
  </si>
  <si>
    <t>C</t>
  </si>
  <si>
    <t>NR</t>
  </si>
  <si>
    <t>OAK,</t>
  </si>
  <si>
    <t>Explanation</t>
  </si>
  <si>
    <t>Parameter</t>
  </si>
  <si>
    <t>Code</t>
  </si>
  <si>
    <t>Name</t>
  </si>
  <si>
    <t>Location</t>
  </si>
  <si>
    <t>Discharge,</t>
  </si>
  <si>
    <t>cubic</t>
  </si>
  <si>
    <t>per</t>
  </si>
  <si>
    <t>second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</si>
</sst>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000"/>
    <numFmt numFmtId="166" formatCode="#,##0.0"/>
  </numFmts>
  <fonts count="20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80"/>
      <name val="Verdana"/>
      <family val="2"/>
    </font>
    <font>
      <sz val="10"/>
      <color rgb="FF000000"/>
      <name val="Arial Unicode MS"/>
    </font>
    <font>
      <sz val="12"/>
      <name val="Arial"/>
      <family val="2"/>
    </font>
    <font>
      <sz val="10"/>
      <name val="SWISS"/>
    </font>
    <font>
      <u/>
      <sz val="10"/>
      <color theme="10"/>
      <name val="Arial"/>
      <family val="2"/>
    </font>
    <font>
      <sz val="10"/>
      <color rgb="FF000000"/>
      <name val="Arial"/>
      <family val="2"/>
    </font>
    <font>
      <sz val="14"/>
      <name val="Arial"/>
      <family val="2"/>
    </font>
    <font>
      <sz val="14"/>
      <name val="Verdana"/>
      <family val="2"/>
    </font>
    <font>
      <sz val="10"/>
      <color rgb="FF000000"/>
      <name val="Verdana"/>
      <family val="2"/>
    </font>
    <font>
      <sz val="10"/>
      <name val="Verdana"/>
      <family val="2"/>
    </font>
    <font>
      <sz val="12"/>
      <name val="SWISS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double">
        <color indexed="64"/>
      </bottom>
      <diagonal/>
    </border>
  </borders>
  <cellStyleXfs count="4">
    <xf numFmtId="0" fontId="0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</cellStyleXfs>
  <cellXfs count="12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righ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8" fontId="0" fillId="0" borderId="0" xfId="0" applyNumberFormat="1"/>
    <xf numFmtId="0" fontId="0" fillId="0" borderId="0" xfId="0" quotePrefix="1"/>
    <xf numFmtId="164" fontId="0" fillId="0" borderId="0" xfId="0" applyNumberFormat="1"/>
    <xf numFmtId="3" fontId="0" fillId="0" borderId="0" xfId="0" applyNumberFormat="1"/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8" fillId="0" borderId="0" xfId="0" applyFont="1" applyAlignment="1">
      <alignment vertical="center"/>
    </xf>
    <xf numFmtId="1" fontId="0" fillId="0" borderId="0" xfId="0" applyNumberFormat="1"/>
    <xf numFmtId="0" fontId="5" fillId="0" borderId="0" xfId="1" applyNumberFormat="1" applyFont="1"/>
    <xf numFmtId="0" fontId="5" fillId="0" borderId="0" xfId="1" applyFont="1"/>
    <xf numFmtId="0" fontId="10" fillId="0" borderId="0" xfId="1" applyNumberFormat="1" applyFont="1"/>
    <xf numFmtId="0" fontId="5" fillId="0" borderId="0" xfId="1" applyNumberFormat="1" applyFont="1" applyAlignment="1"/>
    <xf numFmtId="0" fontId="10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center"/>
    </xf>
    <xf numFmtId="0" fontId="5" fillId="0" borderId="8" xfId="1" applyNumberFormat="1" applyFont="1" applyBorder="1" applyAlignment="1">
      <alignment horizontal="right"/>
    </xf>
    <xf numFmtId="0" fontId="5" fillId="0" borderId="9" xfId="1" applyNumberFormat="1" applyFont="1" applyBorder="1" applyAlignment="1">
      <alignment horizontal="right"/>
    </xf>
    <xf numFmtId="0" fontId="5" fillId="0" borderId="7" xfId="1" applyNumberFormat="1" applyFont="1" applyBorder="1" applyAlignment="1">
      <alignment horizontal="right"/>
    </xf>
    <xf numFmtId="0" fontId="5" fillId="0" borderId="9" xfId="1" applyNumberFormat="1" applyFont="1" applyBorder="1"/>
    <xf numFmtId="3" fontId="5" fillId="0" borderId="9" xfId="1" applyNumberFormat="1" applyFont="1" applyBorder="1"/>
    <xf numFmtId="3" fontId="5" fillId="0" borderId="0" xfId="1" applyNumberFormat="1" applyFont="1"/>
    <xf numFmtId="1" fontId="5" fillId="0" borderId="0" xfId="1" applyNumberFormat="1" applyFont="1"/>
    <xf numFmtId="3" fontId="5" fillId="0" borderId="0" xfId="1" applyNumberFormat="1" applyFont="1" applyBorder="1"/>
    <xf numFmtId="3" fontId="10" fillId="0" borderId="0" xfId="1" applyNumberFormat="1" applyFont="1" applyBorder="1" applyAlignment="1"/>
    <xf numFmtId="3" fontId="10" fillId="0" borderId="0" xfId="1" applyNumberFormat="1" applyFont="1" applyAlignment="1"/>
    <xf numFmtId="0" fontId="10" fillId="0" borderId="0" xfId="2" applyNumberFormat="1" applyFont="1"/>
    <xf numFmtId="0" fontId="10" fillId="0" borderId="0" xfId="2" applyNumberFormat="1" applyFont="1" applyAlignment="1"/>
    <xf numFmtId="0" fontId="10" fillId="0" borderId="8" xfId="2" applyNumberFormat="1" applyFont="1" applyBorder="1" applyAlignment="1">
      <alignment horizontal="right"/>
    </xf>
    <xf numFmtId="0" fontId="10" fillId="0" borderId="9" xfId="2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/>
    </xf>
    <xf numFmtId="0" fontId="5" fillId="0" borderId="10" xfId="2" applyNumberFormat="1" applyFont="1" applyBorder="1" applyAlignment="1">
      <alignment horizontal="right"/>
    </xf>
    <xf numFmtId="0" fontId="5" fillId="0" borderId="0" xfId="2" applyNumberFormat="1" applyFont="1" applyBorder="1"/>
    <xf numFmtId="3" fontId="5" fillId="0" borderId="0" xfId="2" applyNumberFormat="1" applyFont="1" applyBorder="1"/>
    <xf numFmtId="0" fontId="5" fillId="0" borderId="0" xfId="2" applyNumberFormat="1" applyFont="1"/>
    <xf numFmtId="3" fontId="5" fillId="0" borderId="0" xfId="2" applyNumberFormat="1" applyFont="1"/>
    <xf numFmtId="3" fontId="5" fillId="0" borderId="0" xfId="2" applyNumberFormat="1" applyFont="1" applyAlignment="1"/>
    <xf numFmtId="0" fontId="5" fillId="0" borderId="0" xfId="2" applyNumberFormat="1" applyFont="1" applyAlignment="1">
      <alignment horizontal="right"/>
    </xf>
    <xf numFmtId="3" fontId="5" fillId="0" borderId="0" xfId="2" applyNumberFormat="1" applyFont="1" applyAlignment="1">
      <alignment horizontal="right"/>
    </xf>
    <xf numFmtId="3" fontId="5" fillId="0" borderId="0" xfId="2" applyNumberFormat="1" applyFont="1" applyBorder="1" applyAlignment="1"/>
    <xf numFmtId="0" fontId="5" fillId="0" borderId="0" xfId="2" applyNumberFormat="1" applyFont="1" applyAlignment="1"/>
    <xf numFmtId="10" fontId="0" fillId="0" borderId="0" xfId="0" applyNumberFormat="1"/>
    <xf numFmtId="38" fontId="0" fillId="0" borderId="0" xfId="0" applyNumberFormat="1" applyAlignment="1">
      <alignment wrapText="1"/>
    </xf>
    <xf numFmtId="0" fontId="5" fillId="0" borderId="0" xfId="0" applyFont="1" applyAlignment="1"/>
    <xf numFmtId="0" fontId="5" fillId="0" borderId="11" xfId="0" applyFont="1" applyBorder="1" applyAlignment="1">
      <alignment horizontal="center"/>
    </xf>
    <xf numFmtId="3" fontId="0" fillId="0" borderId="11" xfId="0" applyNumberFormat="1" applyBorder="1"/>
    <xf numFmtId="10" fontId="0" fillId="0" borderId="11" xfId="0" applyNumberFormat="1" applyBorder="1"/>
    <xf numFmtId="0" fontId="2" fillId="0" borderId="0" xfId="0" applyFont="1"/>
    <xf numFmtId="0" fontId="11" fillId="0" borderId="0" xfId="3"/>
    <xf numFmtId="0" fontId="5" fillId="0" borderId="11" xfId="0" applyFont="1" applyBorder="1"/>
    <xf numFmtId="0" fontId="0" fillId="0" borderId="11" xfId="0" applyBorder="1"/>
    <xf numFmtId="38" fontId="0" fillId="0" borderId="11" xfId="0" applyNumberFormat="1" applyBorder="1"/>
    <xf numFmtId="0" fontId="5" fillId="0" borderId="0" xfId="0" quotePrefix="1" applyFont="1"/>
    <xf numFmtId="0" fontId="5" fillId="0" borderId="0" xfId="0" quotePrefix="1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Fill="1" applyAlignment="1"/>
    <xf numFmtId="0" fontId="4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2" fontId="2" fillId="3" borderId="0" xfId="0" applyNumberFormat="1" applyFont="1" applyFill="1" applyAlignment="1">
      <alignment horizontal="center"/>
    </xf>
    <xf numFmtId="0" fontId="5" fillId="0" borderId="11" xfId="0" applyFont="1" applyBorder="1" applyAlignment="1">
      <alignment horizontal="center"/>
    </xf>
    <xf numFmtId="0" fontId="0" fillId="0" borderId="0" xfId="0" applyBorder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38" fontId="0" fillId="0" borderId="0" xfId="0" applyNumberFormat="1" applyBorder="1"/>
    <xf numFmtId="3" fontId="0" fillId="0" borderId="0" xfId="0" applyNumberFormat="1" applyBorder="1"/>
    <xf numFmtId="10" fontId="0" fillId="0" borderId="0" xfId="0" applyNumberFormat="1" applyBorder="1"/>
    <xf numFmtId="0" fontId="0" fillId="0" borderId="0" xfId="0" applyBorder="1" applyAlignment="1">
      <alignment horizontal="center"/>
    </xf>
    <xf numFmtId="0" fontId="5" fillId="0" borderId="11" xfId="0" applyFont="1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Fill="1" applyBorder="1"/>
    <xf numFmtId="0" fontId="0" fillId="0" borderId="11" xfId="0" applyFill="1" applyBorder="1"/>
    <xf numFmtId="0" fontId="0" fillId="0" borderId="0" xfId="0" applyNumberFormat="1" applyFont="1"/>
    <xf numFmtId="3" fontId="0" fillId="0" borderId="0" xfId="0" applyNumberFormat="1" applyFont="1"/>
    <xf numFmtId="0" fontId="5" fillId="0" borderId="0" xfId="2" applyNumberFormat="1" applyFont="1" applyFill="1" applyAlignment="1"/>
    <xf numFmtId="3" fontId="10" fillId="0" borderId="0" xfId="0" applyNumberFormat="1" applyFont="1"/>
    <xf numFmtId="3" fontId="5" fillId="0" borderId="0" xfId="0" applyNumberFormat="1" applyFont="1"/>
    <xf numFmtId="0" fontId="5" fillId="0" borderId="9" xfId="1" applyFont="1" applyBorder="1"/>
    <xf numFmtId="14" fontId="0" fillId="0" borderId="0" xfId="0" applyNumberFormat="1"/>
    <xf numFmtId="166" fontId="0" fillId="0" borderId="0" xfId="0" applyNumberFormat="1"/>
    <xf numFmtId="0" fontId="0" fillId="0" borderId="2" xfId="0" applyBorder="1"/>
    <xf numFmtId="0" fontId="12" fillId="4" borderId="2" xfId="0" applyFont="1" applyFill="1" applyBorder="1" applyAlignment="1">
      <alignment horizontal="right" vertical="center" wrapText="1"/>
    </xf>
    <xf numFmtId="0" fontId="13" fillId="0" borderId="0" xfId="0" applyFont="1"/>
    <xf numFmtId="0" fontId="14" fillId="0" borderId="0" xfId="0" applyFont="1"/>
    <xf numFmtId="0" fontId="5" fillId="0" borderId="0" xfId="0" applyFont="1" applyAlignment="1">
      <alignment horizontal="left"/>
    </xf>
    <xf numFmtId="0" fontId="15" fillId="4" borderId="12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left"/>
    </xf>
    <xf numFmtId="166" fontId="5" fillId="0" borderId="0" xfId="0" applyNumberFormat="1" applyFont="1" applyAlignment="1">
      <alignment horizontal="left"/>
    </xf>
    <xf numFmtId="3" fontId="17" fillId="0" borderId="0" xfId="0" applyNumberFormat="1" applyFont="1"/>
    <xf numFmtId="3" fontId="18" fillId="0" borderId="0" xfId="0" applyNumberFormat="1" applyFont="1"/>
    <xf numFmtId="38" fontId="18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38" fontId="19" fillId="0" borderId="0" xfId="0" applyNumberFormat="1" applyFont="1"/>
    <xf numFmtId="3" fontId="19" fillId="0" borderId="0" xfId="0" applyNumberFormat="1" applyFont="1"/>
    <xf numFmtId="0" fontId="5" fillId="0" borderId="0" xfId="0" applyFont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3" fontId="5" fillId="0" borderId="8" xfId="0" applyNumberFormat="1" applyFont="1" applyBorder="1" applyAlignment="1">
      <alignment horizontal="right" vertical="center"/>
    </xf>
    <xf numFmtId="3" fontId="5" fillId="0" borderId="13" xfId="0" applyNumberFormat="1" applyFont="1" applyBorder="1" applyAlignment="1">
      <alignment horizontal="right" vertical="center"/>
    </xf>
    <xf numFmtId="166" fontId="12" fillId="4" borderId="1" xfId="0" applyNumberFormat="1" applyFont="1" applyFill="1" applyBorder="1" applyAlignment="1">
      <alignment horizontal="right" vertical="center" wrapText="1"/>
    </xf>
    <xf numFmtId="0" fontId="2" fillId="0" borderId="11" xfId="0" applyFont="1" applyBorder="1" applyAlignment="1">
      <alignment horizontal="center" vertical="center" wrapText="1"/>
    </xf>
    <xf numFmtId="166" fontId="12" fillId="4" borderId="11" xfId="0" applyNumberFormat="1" applyFont="1" applyFill="1" applyBorder="1" applyAlignment="1">
      <alignment horizontal="right" vertical="center" wrapText="1"/>
    </xf>
    <xf numFmtId="0" fontId="0" fillId="0" borderId="11" xfId="0" applyBorder="1" applyAlignment="1">
      <alignment horizontal="right" wrapText="1"/>
    </xf>
    <xf numFmtId="0" fontId="0" fillId="0" borderId="0" xfId="0" applyAlignment="1">
      <alignment horizontal="left"/>
    </xf>
    <xf numFmtId="0" fontId="5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11" xfId="0" applyFont="1" applyBorder="1" applyAlignment="1">
      <alignment horizontal="center" wrapText="1"/>
    </xf>
    <xf numFmtId="0" fontId="10" fillId="0" borderId="0" xfId="2" applyNumberFormat="1" applyFont="1" applyAlignment="1">
      <alignment horizontal="center"/>
    </xf>
    <xf numFmtId="0" fontId="0" fillId="0" borderId="3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right" wrapText="1"/>
    </xf>
    <xf numFmtId="21" fontId="0" fillId="0" borderId="0" xfId="0" applyNumberFormat="1"/>
    <xf numFmtId="0" fontId="8" fillId="5" borderId="0" xfId="0" applyFont="1" applyFill="1" applyAlignment="1">
      <alignment vertical="center"/>
    </xf>
    <xf numFmtId="0" fontId="0" fillId="5" borderId="0" xfId="0" applyFill="1"/>
  </cellXfs>
  <cellStyles count="4">
    <cellStyle name="Hyperlink" xfId="3" builtinId="8"/>
    <cellStyle name="Normal" xfId="0" builtinId="0"/>
    <cellStyle name="Normal 2" xfId="2" xr:uid="{00000000-0005-0000-0000-000002000000}"/>
    <cellStyle name="Normal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RR_CBCU!$I$53</c:f>
          <c:strCache>
            <c:ptCount val="1"/>
            <c:pt idx="0">
              <c:v>Republican River CBCU for Lovewell net evaporation and diversion to Courtland Canal below Lovewell</c:v>
            </c:pt>
          </c:strCache>
        </c:strRef>
      </c:tx>
      <c:layout>
        <c:manualLayout>
          <c:xMode val="edge"/>
          <c:yMode val="edge"/>
          <c:x val="0.17412000581765935"/>
          <c:y val="2.73570276632393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124019281724836"/>
          <c:y val="0.30114161799046957"/>
          <c:w val="0.75362735441105289"/>
          <c:h val="0.62209029346210309"/>
        </c:manualLayout>
      </c:layout>
      <c:scatterChart>
        <c:scatterStyle val="lineMarker"/>
        <c:varyColors val="0"/>
        <c:ser>
          <c:idx val="0"/>
          <c:order val="0"/>
          <c:tx>
            <c:strRef>
              <c:f>RR_CBCU!$I$80</c:f>
              <c:strCache>
                <c:ptCount val="1"/>
                <c:pt idx="0">
                  <c:v>RR Inflow to LVKS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RR_CBCU!$C$6:$C$29</c:f>
              <c:numCache>
                <c:formatCode>#,##0_);[Red]\(#,##0\)</c:formatCode>
                <c:ptCount val="24"/>
                <c:pt idx="0">
                  <c:v>31839</c:v>
                </c:pt>
                <c:pt idx="1">
                  <c:v>38849</c:v>
                </c:pt>
                <c:pt idx="2">
                  <c:v>29802</c:v>
                </c:pt>
                <c:pt idx="3">
                  <c:v>28570</c:v>
                </c:pt>
                <c:pt idx="4">
                  <c:v>20851</c:v>
                </c:pt>
                <c:pt idx="5">
                  <c:v>73479</c:v>
                </c:pt>
                <c:pt idx="6">
                  <c:v>30909</c:v>
                </c:pt>
                <c:pt idx="7">
                  <c:v>44153</c:v>
                </c:pt>
                <c:pt idx="8">
                  <c:v>26596</c:v>
                </c:pt>
                <c:pt idx="9">
                  <c:v>14130</c:v>
                </c:pt>
                <c:pt idx="10">
                  <c:v>29265</c:v>
                </c:pt>
                <c:pt idx="11">
                  <c:v>19093.170999999998</c:v>
                </c:pt>
                <c:pt idx="12">
                  <c:v>34687.646349999995</c:v>
                </c:pt>
                <c:pt idx="13">
                  <c:v>7657</c:v>
                </c:pt>
                <c:pt idx="14">
                  <c:v>17608</c:v>
                </c:pt>
                <c:pt idx="15">
                  <c:v>18030</c:v>
                </c:pt>
                <c:pt idx="16">
                  <c:v>10316</c:v>
                </c:pt>
                <c:pt idx="17">
                  <c:v>37353</c:v>
                </c:pt>
                <c:pt idx="18">
                  <c:v>38432</c:v>
                </c:pt>
                <c:pt idx="19">
                  <c:v>36450</c:v>
                </c:pt>
                <c:pt idx="20">
                  <c:v>30533</c:v>
                </c:pt>
                <c:pt idx="21">
                  <c:v>15798</c:v>
                </c:pt>
                <c:pt idx="22">
                  <c:v>28120</c:v>
                </c:pt>
                <c:pt idx="23">
                  <c:v>19419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67-4308-A2F3-28B7675C2AEB}"/>
            </c:ext>
          </c:extLst>
        </c:ser>
        <c:ser>
          <c:idx val="1"/>
          <c:order val="1"/>
          <c:tx>
            <c:strRef>
              <c:f>RR_CBCU!$I$82</c:f>
              <c:strCache>
                <c:ptCount val="1"/>
                <c:pt idx="0">
                  <c:v>LVKS Outflow to Courtland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RR_CBCU!$E$6:$E$29</c:f>
              <c:numCache>
                <c:formatCode>#,##0_);[Red]\(#,##0\)</c:formatCode>
                <c:ptCount val="24"/>
                <c:pt idx="0">
                  <c:v>46493</c:v>
                </c:pt>
                <c:pt idx="1">
                  <c:v>46946</c:v>
                </c:pt>
                <c:pt idx="2">
                  <c:v>48831</c:v>
                </c:pt>
                <c:pt idx="3">
                  <c:v>49058</c:v>
                </c:pt>
                <c:pt idx="4">
                  <c:v>49570</c:v>
                </c:pt>
                <c:pt idx="5">
                  <c:v>62745</c:v>
                </c:pt>
                <c:pt idx="6">
                  <c:v>47244</c:v>
                </c:pt>
                <c:pt idx="7">
                  <c:v>46557</c:v>
                </c:pt>
                <c:pt idx="8">
                  <c:v>35606</c:v>
                </c:pt>
                <c:pt idx="9">
                  <c:v>30134</c:v>
                </c:pt>
                <c:pt idx="10">
                  <c:v>25916</c:v>
                </c:pt>
                <c:pt idx="11">
                  <c:v>27851</c:v>
                </c:pt>
                <c:pt idx="12">
                  <c:v>35101</c:v>
                </c:pt>
                <c:pt idx="13">
                  <c:v>30016</c:v>
                </c:pt>
                <c:pt idx="14">
                  <c:v>35631</c:v>
                </c:pt>
                <c:pt idx="15">
                  <c:v>38043</c:v>
                </c:pt>
                <c:pt idx="16">
                  <c:v>36183</c:v>
                </c:pt>
                <c:pt idx="17">
                  <c:v>50078</c:v>
                </c:pt>
                <c:pt idx="18">
                  <c:v>40139</c:v>
                </c:pt>
                <c:pt idx="19">
                  <c:v>32108</c:v>
                </c:pt>
                <c:pt idx="20">
                  <c:v>31544</c:v>
                </c:pt>
                <c:pt idx="21">
                  <c:v>28871</c:v>
                </c:pt>
                <c:pt idx="22">
                  <c:v>38000</c:v>
                </c:pt>
                <c:pt idx="23">
                  <c:v>30608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67-4308-A2F3-28B7675C2AEB}"/>
            </c:ext>
          </c:extLst>
        </c:ser>
        <c:ser>
          <c:idx val="2"/>
          <c:order val="2"/>
          <c:tx>
            <c:strRef>
              <c:f>RR_CBCU!$I$83</c:f>
              <c:strCache>
                <c:ptCount val="1"/>
                <c:pt idx="0">
                  <c:v>RR Evap charge (inflow split)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RR_CBCU!$H$6:$H$29</c:f>
              <c:numCache>
                <c:formatCode>#,##0_);[Red]\(#,##0\)</c:formatCode>
                <c:ptCount val="24"/>
                <c:pt idx="0">
                  <c:v>1018.8153605313283</c:v>
                </c:pt>
                <c:pt idx="1">
                  <c:v>581.31297193973796</c:v>
                </c:pt>
                <c:pt idx="2">
                  <c:v>1189.1152026482694</c:v>
                </c:pt>
                <c:pt idx="3">
                  <c:v>122.29438598535488</c:v>
                </c:pt>
                <c:pt idx="4">
                  <c:v>1116.2840801534628</c:v>
                </c:pt>
                <c:pt idx="5">
                  <c:v>3881.4798010080312</c:v>
                </c:pt>
                <c:pt idx="6">
                  <c:v>-125.7965348934911</c:v>
                </c:pt>
                <c:pt idx="7">
                  <c:v>2473.1841026640541</c:v>
                </c:pt>
                <c:pt idx="8">
                  <c:v>805.27648541589758</c:v>
                </c:pt>
                <c:pt idx="9">
                  <c:v>822.7393800365171</c:v>
                </c:pt>
                <c:pt idx="10">
                  <c:v>2724.6579464162464</c:v>
                </c:pt>
                <c:pt idx="11">
                  <c:v>3342.8618818559626</c:v>
                </c:pt>
                <c:pt idx="12">
                  <c:v>722.65271634752708</c:v>
                </c:pt>
                <c:pt idx="13">
                  <c:v>36.531004259166686</c:v>
                </c:pt>
                <c:pt idx="14">
                  <c:v>1860.6685730846366</c:v>
                </c:pt>
                <c:pt idx="15">
                  <c:v>896.43285724647046</c:v>
                </c:pt>
                <c:pt idx="16">
                  <c:v>327.07108362528771</c:v>
                </c:pt>
                <c:pt idx="17">
                  <c:v>3898.7927750296731</c:v>
                </c:pt>
                <c:pt idx="18">
                  <c:v>1683.7962371969124</c:v>
                </c:pt>
                <c:pt idx="19">
                  <c:v>2291.4080956064558</c:v>
                </c:pt>
                <c:pt idx="20">
                  <c:v>201.52673757108087</c:v>
                </c:pt>
                <c:pt idx="21">
                  <c:v>927.20519920044592</c:v>
                </c:pt>
                <c:pt idx="22">
                  <c:v>2594.744870435848</c:v>
                </c:pt>
                <c:pt idx="23">
                  <c:v>-193.83445803700491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D67-4308-A2F3-28B7675C2AEB}"/>
            </c:ext>
          </c:extLst>
        </c:ser>
        <c:ser>
          <c:idx val="3"/>
          <c:order val="3"/>
          <c:tx>
            <c:strRef>
              <c:f>RR_CBCU!$I$84</c:f>
              <c:strCache>
                <c:ptCount val="1"/>
                <c:pt idx="0">
                  <c:v>RR diversion to lower Bostwick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RR_CBCU!$I$6:$I$29</c:f>
              <c:numCache>
                <c:formatCode>#,##0_);[Red]\(#,##0\)</c:formatCode>
                <c:ptCount val="24"/>
                <c:pt idx="0">
                  <c:v>30820.184639468673</c:v>
                </c:pt>
                <c:pt idx="1">
                  <c:v>38267.68702806026</c:v>
                </c:pt>
                <c:pt idx="2">
                  <c:v>28612.88479735173</c:v>
                </c:pt>
                <c:pt idx="3">
                  <c:v>28447.705614014645</c:v>
                </c:pt>
                <c:pt idx="4">
                  <c:v>19734.715919846538</c:v>
                </c:pt>
                <c:pt idx="5">
                  <c:v>62745</c:v>
                </c:pt>
                <c:pt idx="6">
                  <c:v>31034.796534893492</c:v>
                </c:pt>
                <c:pt idx="7">
                  <c:v>41679.815897335946</c:v>
                </c:pt>
                <c:pt idx="8">
                  <c:v>25790.723514584104</c:v>
                </c:pt>
                <c:pt idx="9">
                  <c:v>13307.260619963483</c:v>
                </c:pt>
                <c:pt idx="10">
                  <c:v>25916</c:v>
                </c:pt>
                <c:pt idx="11">
                  <c:v>15750.309118144036</c:v>
                </c:pt>
                <c:pt idx="12">
                  <c:v>33964.99363365247</c:v>
                </c:pt>
                <c:pt idx="13">
                  <c:v>7620.4689957408336</c:v>
                </c:pt>
                <c:pt idx="14">
                  <c:v>15747.331426915363</c:v>
                </c:pt>
                <c:pt idx="15">
                  <c:v>17133.567142753531</c:v>
                </c:pt>
                <c:pt idx="16">
                  <c:v>9988.9289163747126</c:v>
                </c:pt>
                <c:pt idx="17">
                  <c:v>33454.207224970327</c:v>
                </c:pt>
                <c:pt idx="18">
                  <c:v>36748.203762803088</c:v>
                </c:pt>
                <c:pt idx="19">
                  <c:v>32108</c:v>
                </c:pt>
                <c:pt idx="20">
                  <c:v>30331.473262428921</c:v>
                </c:pt>
                <c:pt idx="21">
                  <c:v>14870.794800799555</c:v>
                </c:pt>
                <c:pt idx="22">
                  <c:v>25525.255129564153</c:v>
                </c:pt>
                <c:pt idx="23">
                  <c:v>19612.834458037007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D67-4308-A2F3-28B7675C2AEB}"/>
            </c:ext>
          </c:extLst>
        </c:ser>
        <c:ser>
          <c:idx val="5"/>
          <c:order val="4"/>
          <c:tx>
            <c:strRef>
              <c:f>RR_CBCU!$I$81</c:f>
              <c:strCache>
                <c:ptCount val="1"/>
                <c:pt idx="0">
                  <c:v>White Rock C at Burr Oak</c:v>
                </c:pt>
              </c:strCache>
            </c:strRef>
          </c:tx>
          <c:spPr>
            <a:ln w="12700" cap="rnd">
              <a:solidFill>
                <a:srgbClr val="7030A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RR_CBCU!$D$6:$D$28</c:f>
              <c:numCache>
                <c:formatCode>#,##0_);[Red]\(#,##0\)</c:formatCode>
                <c:ptCount val="23"/>
                <c:pt idx="0">
                  <c:v>19691.900826446283</c:v>
                </c:pt>
                <c:pt idx="1">
                  <c:v>18076.165289256198</c:v>
                </c:pt>
                <c:pt idx="2">
                  <c:v>23239.338842975209</c:v>
                </c:pt>
                <c:pt idx="3">
                  <c:v>33809.25619834711</c:v>
                </c:pt>
                <c:pt idx="4">
                  <c:v>15492.89256198347</c:v>
                </c:pt>
                <c:pt idx="5">
                  <c:v>4595.2661157024795</c:v>
                </c:pt>
                <c:pt idx="6">
                  <c:v>23022.14876033058</c:v>
                </c:pt>
                <c:pt idx="7">
                  <c:v>4778.181818181818</c:v>
                </c:pt>
                <c:pt idx="8">
                  <c:v>1715.8016528925621</c:v>
                </c:pt>
                <c:pt idx="9">
                  <c:v>2039.9206611570248</c:v>
                </c:pt>
                <c:pt idx="10">
                  <c:v>3663.272727272727</c:v>
                </c:pt>
                <c:pt idx="11">
                  <c:v>1817.1570247933885</c:v>
                </c:pt>
                <c:pt idx="12">
                  <c:v>7529.2561983471078</c:v>
                </c:pt>
                <c:pt idx="13">
                  <c:v>41233.983471074382</c:v>
                </c:pt>
                <c:pt idx="14">
                  <c:v>10859.504132231405</c:v>
                </c:pt>
                <c:pt idx="15">
                  <c:v>28958.677685950413</c:v>
                </c:pt>
                <c:pt idx="16">
                  <c:v>55890.247933884297</c:v>
                </c:pt>
                <c:pt idx="17">
                  <c:v>6700.5223140495873</c:v>
                </c:pt>
                <c:pt idx="18">
                  <c:v>2222.5785123966944</c:v>
                </c:pt>
                <c:pt idx="19">
                  <c:v>5813.454545454545</c:v>
                </c:pt>
                <c:pt idx="20">
                  <c:v>15130.90909090909</c:v>
                </c:pt>
                <c:pt idx="21">
                  <c:v>10308.495867768595</c:v>
                </c:pt>
                <c:pt idx="22">
                  <c:v>18533.553719008265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D67-4308-A2F3-28B7675C2A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2538160"/>
        <c:axId val="1625792240"/>
      </c:scatterChart>
      <c:valAx>
        <c:axId val="1542538160"/>
        <c:scaling>
          <c:orientation val="minMax"/>
          <c:min val="199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5792240"/>
        <c:crossesAt val="-10000"/>
        <c:crossBetween val="midCat"/>
      </c:valAx>
      <c:valAx>
        <c:axId val="1625792240"/>
        <c:scaling>
          <c:orientation val="minMax"/>
          <c:max val="80000"/>
          <c:min val="-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 of water (acre-feet/year)</a:t>
                </a:r>
              </a:p>
            </c:rich>
          </c:tx>
          <c:layout>
            <c:manualLayout>
              <c:xMode val="edge"/>
              <c:yMode val="edge"/>
              <c:x val="1.9480247147276156E-2"/>
              <c:y val="0.201169914056599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_);[Red]\(#,##0\)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2538160"/>
        <c:crossesAt val="1995"/>
        <c:crossBetween val="midCat"/>
        <c:majorUnit val="10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3427931963219604"/>
          <c:w val="0.99712162519632164"/>
          <c:h val="0.165720680367803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RR_CBCU!$P$55</c:f>
          <c:strCache>
            <c:ptCount val="1"/>
            <c:pt idx="0">
              <c:v>Net evaporation charged to Republican River by original methods and by simplified annual inflow split</c:v>
            </c:pt>
          </c:strCache>
        </c:strRef>
      </c:tx>
      <c:layout>
        <c:manualLayout>
          <c:xMode val="edge"/>
          <c:yMode val="edge"/>
          <c:x val="0.1500847516837315"/>
          <c:y val="3.457106622552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simplified annual calculation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RR_CBCU!$H$6:$H$29</c:f>
              <c:numCache>
                <c:formatCode>#,##0_);[Red]\(#,##0\)</c:formatCode>
                <c:ptCount val="24"/>
                <c:pt idx="0">
                  <c:v>1018.8153605313283</c:v>
                </c:pt>
                <c:pt idx="1">
                  <c:v>581.31297193973796</c:v>
                </c:pt>
                <c:pt idx="2">
                  <c:v>1189.1152026482694</c:v>
                </c:pt>
                <c:pt idx="3">
                  <c:v>122.29438598535488</c:v>
                </c:pt>
                <c:pt idx="4">
                  <c:v>1116.2840801534628</c:v>
                </c:pt>
                <c:pt idx="5">
                  <c:v>3881.4798010080312</c:v>
                </c:pt>
                <c:pt idx="6">
                  <c:v>-125.7965348934911</c:v>
                </c:pt>
                <c:pt idx="7">
                  <c:v>2473.1841026640541</c:v>
                </c:pt>
                <c:pt idx="8">
                  <c:v>805.27648541589758</c:v>
                </c:pt>
                <c:pt idx="9">
                  <c:v>822.7393800365171</c:v>
                </c:pt>
                <c:pt idx="10">
                  <c:v>2724.6579464162464</c:v>
                </c:pt>
                <c:pt idx="11">
                  <c:v>3342.8618818559626</c:v>
                </c:pt>
                <c:pt idx="12">
                  <c:v>722.65271634752708</c:v>
                </c:pt>
                <c:pt idx="13">
                  <c:v>36.531004259166686</c:v>
                </c:pt>
                <c:pt idx="14">
                  <c:v>1860.6685730846366</c:v>
                </c:pt>
                <c:pt idx="15">
                  <c:v>896.43285724647046</c:v>
                </c:pt>
                <c:pt idx="16">
                  <c:v>327.07108362528771</c:v>
                </c:pt>
                <c:pt idx="17">
                  <c:v>3898.7927750296731</c:v>
                </c:pt>
                <c:pt idx="18">
                  <c:v>1683.7962371969124</c:v>
                </c:pt>
                <c:pt idx="19">
                  <c:v>2291.4080956064558</c:v>
                </c:pt>
                <c:pt idx="20">
                  <c:v>201.52673757108087</c:v>
                </c:pt>
                <c:pt idx="21">
                  <c:v>927.20519920044592</c:v>
                </c:pt>
                <c:pt idx="22">
                  <c:v>2594.744870435848</c:v>
                </c:pt>
                <c:pt idx="23">
                  <c:v>-193.83445803700491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FF-43B9-B779-29E5ED620D59}"/>
            </c:ext>
          </c:extLst>
        </c:ser>
        <c:ser>
          <c:idx val="1"/>
          <c:order val="1"/>
          <c:tx>
            <c:v>original methods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RR_CBCU!$S$6:$S$28</c:f>
              <c:numCache>
                <c:formatCode>#,##0_);[Red]\(#,##0\)</c:formatCode>
                <c:ptCount val="23"/>
                <c:pt idx="0">
                  <c:v>1018.7369363154431</c:v>
                </c:pt>
                <c:pt idx="1">
                  <c:v>581.36148663933557</c:v>
                </c:pt>
                <c:pt idx="2">
                  <c:v>1188.3135633835846</c:v>
                </c:pt>
                <c:pt idx="3">
                  <c:v>122.31208163183913</c:v>
                </c:pt>
                <c:pt idx="4">
                  <c:v>1116.5518935042269</c:v>
                </c:pt>
                <c:pt idx="5">
                  <c:v>3882.1973120071225</c:v>
                </c:pt>
                <c:pt idx="6">
                  <c:v>-125.78717844338362</c:v>
                </c:pt>
                <c:pt idx="7">
                  <c:v>2472.6198080501413</c:v>
                </c:pt>
                <c:pt idx="8">
                  <c:v>670</c:v>
                </c:pt>
                <c:pt idx="9">
                  <c:v>1110</c:v>
                </c:pt>
                <c:pt idx="10">
                  <c:v>2020</c:v>
                </c:pt>
                <c:pt idx="11">
                  <c:v>1770</c:v>
                </c:pt>
                <c:pt idx="12">
                  <c:v>130</c:v>
                </c:pt>
                <c:pt idx="13">
                  <c:v>10</c:v>
                </c:pt>
                <c:pt idx="14">
                  <c:v>130</c:v>
                </c:pt>
                <c:pt idx="15">
                  <c:v>330</c:v>
                </c:pt>
                <c:pt idx="16">
                  <c:v>-160</c:v>
                </c:pt>
                <c:pt idx="17">
                  <c:v>760</c:v>
                </c:pt>
                <c:pt idx="18">
                  <c:v>800</c:v>
                </c:pt>
                <c:pt idx="19">
                  <c:v>1380</c:v>
                </c:pt>
                <c:pt idx="20">
                  <c:v>300</c:v>
                </c:pt>
                <c:pt idx="21">
                  <c:v>-40</c:v>
                </c:pt>
                <c:pt idx="22">
                  <c:v>300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9FF-43B9-B779-29E5ED620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7704271"/>
        <c:axId val="1406397103"/>
      </c:scatterChart>
      <c:valAx>
        <c:axId val="1077704271"/>
        <c:scaling>
          <c:orientation val="minMax"/>
          <c:min val="199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6397103"/>
        <c:crossesAt val="-500"/>
        <c:crossBetween val="midCat"/>
      </c:valAx>
      <c:valAx>
        <c:axId val="1406397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Volume of water (acre-feet/year) </a:t>
                </a:r>
              </a:p>
            </c:rich>
          </c:tx>
          <c:layout>
            <c:manualLayout>
              <c:xMode val="edge"/>
              <c:yMode val="edge"/>
              <c:x val="1.9884011239163359E-2"/>
              <c:y val="0.210710497415033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7704271"/>
        <c:crossesAt val="1995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599619972706454"/>
          <c:y val="0.9121314196549366"/>
          <c:w val="0.80494215533679225"/>
          <c:h val="6.48212028613833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RR_CBCU!$P$80</c:f>
          <c:strCache>
            <c:ptCount val="1"/>
            <c:pt idx="0">
              <c:v>Republican River diversion to lower Bostwick district by original methods and simplified annual inflow split (A2/A1 = 1)</c:v>
            </c:pt>
          </c:strCache>
        </c:strRef>
      </c:tx>
      <c:layout>
        <c:manualLayout>
          <c:xMode val="edge"/>
          <c:yMode val="edge"/>
          <c:x val="0.1500847516837315"/>
          <c:y val="3.457106622552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92027196473798"/>
          <c:y val="0.1629065465138119"/>
          <c:w val="0.79307143976876615"/>
          <c:h val="0.56696427626244139"/>
        </c:manualLayout>
      </c:layout>
      <c:scatterChart>
        <c:scatterStyle val="lineMarker"/>
        <c:varyColors val="0"/>
        <c:ser>
          <c:idx val="0"/>
          <c:order val="0"/>
          <c:tx>
            <c:v>simplified annual calculation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RR_CBCU!$I$6:$I$28</c:f>
              <c:numCache>
                <c:formatCode>#,##0_);[Red]\(#,##0\)</c:formatCode>
                <c:ptCount val="23"/>
                <c:pt idx="0">
                  <c:v>30820.184639468673</c:v>
                </c:pt>
                <c:pt idx="1">
                  <c:v>38267.68702806026</c:v>
                </c:pt>
                <c:pt idx="2">
                  <c:v>28612.88479735173</c:v>
                </c:pt>
                <c:pt idx="3">
                  <c:v>28447.705614014645</c:v>
                </c:pt>
                <c:pt idx="4">
                  <c:v>19734.715919846538</c:v>
                </c:pt>
                <c:pt idx="5">
                  <c:v>62745</c:v>
                </c:pt>
                <c:pt idx="6">
                  <c:v>31034.796534893492</c:v>
                </c:pt>
                <c:pt idx="7">
                  <c:v>41679.815897335946</c:v>
                </c:pt>
                <c:pt idx="8">
                  <c:v>25790.723514584104</c:v>
                </c:pt>
                <c:pt idx="9">
                  <c:v>13307.260619963483</c:v>
                </c:pt>
                <c:pt idx="10">
                  <c:v>25916</c:v>
                </c:pt>
                <c:pt idx="11">
                  <c:v>15750.309118144036</c:v>
                </c:pt>
                <c:pt idx="12">
                  <c:v>33964.99363365247</c:v>
                </c:pt>
                <c:pt idx="13">
                  <c:v>7620.4689957408336</c:v>
                </c:pt>
                <c:pt idx="14">
                  <c:v>15747.331426915363</c:v>
                </c:pt>
                <c:pt idx="15">
                  <c:v>17133.567142753531</c:v>
                </c:pt>
                <c:pt idx="16">
                  <c:v>9988.9289163747126</c:v>
                </c:pt>
                <c:pt idx="17">
                  <c:v>33454.207224970327</c:v>
                </c:pt>
                <c:pt idx="18">
                  <c:v>36748.203762803088</c:v>
                </c:pt>
                <c:pt idx="19">
                  <c:v>32108</c:v>
                </c:pt>
                <c:pt idx="20">
                  <c:v>30331.473262428921</c:v>
                </c:pt>
                <c:pt idx="21">
                  <c:v>14870.794800799555</c:v>
                </c:pt>
                <c:pt idx="22">
                  <c:v>25525.255129564153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F3-43C5-926D-F34C0DB831A4}"/>
            </c:ext>
          </c:extLst>
        </c:ser>
        <c:ser>
          <c:idx val="1"/>
          <c:order val="1"/>
          <c:tx>
            <c:v>original methods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RR_CBCU!$U$6:$U$28</c:f>
              <c:numCache>
                <c:formatCode>General</c:formatCode>
                <c:ptCount val="23"/>
                <c:pt idx="0">
                  <c:v>18200</c:v>
                </c:pt>
                <c:pt idx="1">
                  <c:v>36510</c:v>
                </c:pt>
                <c:pt idx="2">
                  <c:v>26310</c:v>
                </c:pt>
                <c:pt idx="3">
                  <c:v>31720</c:v>
                </c:pt>
                <c:pt idx="4">
                  <c:v>49000</c:v>
                </c:pt>
                <c:pt idx="5">
                  <c:v>41250</c:v>
                </c:pt>
                <c:pt idx="6">
                  <c:v>25920</c:v>
                </c:pt>
                <c:pt idx="7">
                  <c:v>32420</c:v>
                </c:pt>
                <c:pt idx="8">
                  <c:v>21270</c:v>
                </c:pt>
                <c:pt idx="9">
                  <c:v>25590</c:v>
                </c:pt>
                <c:pt idx="10">
                  <c:v>25590</c:v>
                </c:pt>
                <c:pt idx="11">
                  <c:v>28066</c:v>
                </c:pt>
                <c:pt idx="12">
                  <c:v>35960</c:v>
                </c:pt>
                <c:pt idx="13">
                  <c:v>11280</c:v>
                </c:pt>
                <c:pt idx="14">
                  <c:v>12560</c:v>
                </c:pt>
                <c:pt idx="15">
                  <c:v>20410</c:v>
                </c:pt>
                <c:pt idx="16">
                  <c:v>12710</c:v>
                </c:pt>
                <c:pt idx="17">
                  <c:v>26840</c:v>
                </c:pt>
                <c:pt idx="18">
                  <c:v>37250</c:v>
                </c:pt>
                <c:pt idx="19">
                  <c:v>32108</c:v>
                </c:pt>
                <c:pt idx="20">
                  <c:v>31544</c:v>
                </c:pt>
                <c:pt idx="21">
                  <c:v>31544</c:v>
                </c:pt>
                <c:pt idx="22">
                  <c:v>14620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F3-43C5-926D-F34C0DB831A4}"/>
            </c:ext>
          </c:extLst>
        </c:ser>
        <c:ser>
          <c:idx val="2"/>
          <c:order val="2"/>
          <c:tx>
            <c:v>simplified annual (alternate based on inflow split)</c:v>
          </c:tx>
          <c:spPr>
            <a:ln w="12700" cap="rnd">
              <a:solidFill>
                <a:schemeClr val="bg2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2F3-43C5-926D-F34C0DB83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7704271"/>
        <c:axId val="1406397103"/>
      </c:scatterChart>
      <c:valAx>
        <c:axId val="1077704271"/>
        <c:scaling>
          <c:orientation val="minMax"/>
          <c:min val="199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6397103"/>
        <c:crossesAt val="-500"/>
        <c:crossBetween val="midCat"/>
      </c:valAx>
      <c:valAx>
        <c:axId val="1406397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Volume of water (acre-feet/year) </a:t>
                </a:r>
              </a:p>
            </c:rich>
          </c:tx>
          <c:layout>
            <c:manualLayout>
              <c:xMode val="edge"/>
              <c:yMode val="edge"/>
              <c:x val="1.9884011239163359E-2"/>
              <c:y val="0.233757874898714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7704271"/>
        <c:crossesAt val="1995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848170113195996"/>
          <c:y val="0.80073576181714956"/>
          <c:w val="0.85151829886803998"/>
          <c:h val="0.18774054944101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</xdr:row>
      <xdr:rowOff>55034</xdr:rowOff>
    </xdr:from>
    <xdr:to>
      <xdr:col>9</xdr:col>
      <xdr:colOff>495300</xdr:colOff>
      <xdr:row>36</xdr:row>
      <xdr:rowOff>84666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8656915-3E46-4B57-AAF2-C5DE185CFA03}"/>
            </a:ext>
          </a:extLst>
        </xdr:cNvPr>
        <xdr:cNvSpPr txBox="1"/>
      </xdr:nvSpPr>
      <xdr:spPr>
        <a:xfrm>
          <a:off x="681567" y="376767"/>
          <a:ext cx="5689600" cy="54990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Explanation of sheet RR_CBCU columns a-k:</a:t>
          </a:r>
        </a:p>
        <a:p>
          <a:endParaRPr lang="en-US" sz="1100"/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a)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Calendar year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b) Lovewell Net evaporation (NetEvap), [EC]: calculated in sheet Net_Evap of file Lovewell.xlsx, given by Lovewell evaporation – direct precipitation as prescribed by RRCA EC for federal reservoirs.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c) RR Inflow from Courtland Canal [BOR: sheet ‘C-LOV’, file BOST-MISC3MWD.xlsx and Court wrk sht 20.xlsx]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compliance accounting input line 269.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d) WRC Inflow [USGS]: mean annual flow at Burr Oak USGS gage 06853800 and converted to acre-feet.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e) Lovewell discharge to lower KS Bostwick District [BOR: from sheet ‘C-BELOW’, file KS-BOST3MWD.xlsx (Courtland Canal, Mile 38.0).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f)  outflow, af [BOR: file Lov-outfl.xlsx; copy: sheet LVKS_Out_AF Lovewell1995-2017.xlsx]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g) fRR = RR/(RR+c*WRC) [RR: col. C, WRC: col. D, c = A2/A1 = 1.52, ratio of basin drainage areas for USGS White Rock C gages at Lovewell and Burr Oak]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h) RR Evap charge, EvapRR = fRR*NetEvap (cols. G and B);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compliance accounting input line 228.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i) Diversion to Lower District = Min (RR – EvapRR, Outflow to lower district) [cols. C, H, E];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compliance accounting input line 270.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j) WRC diversion to Lower District = [col. E] – [col. I]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k) WRC spill: Lovewell total discharge – Lovewell discharge to Lower District = [col. F] – [col. E].</a:t>
          </a:r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71965</xdr:colOff>
      <xdr:row>56</xdr:row>
      <xdr:rowOff>29635</xdr:rowOff>
    </xdr:from>
    <xdr:to>
      <xdr:col>14</xdr:col>
      <xdr:colOff>198967</xdr:colOff>
      <xdr:row>76</xdr:row>
      <xdr:rowOff>118533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F25E3BD-646A-41DD-8753-C9B701DD54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634999</xdr:colOff>
      <xdr:row>56</xdr:row>
      <xdr:rowOff>38099</xdr:rowOff>
    </xdr:from>
    <xdr:to>
      <xdr:col>22</xdr:col>
      <xdr:colOff>596899</xdr:colOff>
      <xdr:row>76</xdr:row>
      <xdr:rowOff>126999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39D1029-D989-49FA-A473-7AEF0F7330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82</xdr:row>
      <xdr:rowOff>8467</xdr:rowOff>
    </xdr:from>
    <xdr:to>
      <xdr:col>22</xdr:col>
      <xdr:colOff>605366</xdr:colOff>
      <xdr:row>102</xdr:row>
      <xdr:rowOff>97367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7C43A95-A472-4085-9287-4324FBC525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aterdata.usgs.gov/ks/nwis/annual/?referred_module=sw&amp;amp;site_no=06853800&amp;amp;por_06853800_54716=92218,00060,54716,1958,2018&amp;amp;partial_periods=on&amp;amp;year_type=C&amp;amp;format=rdb&amp;amp;date_format=MM/DD/YYYY&amp;amp;rdb_compression=value&amp;amp;submitted_form=parameter_selection_list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s://waterdata.usgs.gov/ks/nwis/monthly?referred_module=sw&amp;amp;site_no=06853800&amp;amp;por_06853800_54716=92218,00060,54716,1957-10,2018-04&amp;amp;start_dt=2000-01&amp;amp;end_dt=2017-12&amp;amp;partial_periods=on&amp;amp;format=html_table&amp;amp;date_format=YYYY-MM-DD&amp;amp;rdb_compression=file&amp;amp;submitted_form=parameter_selection_lis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G6"/>
  <sheetViews>
    <sheetView workbookViewId="0">
      <selection activeCell="K16" sqref="K16"/>
    </sheetView>
  </sheetViews>
  <sheetFormatPr defaultRowHeight="13.2"/>
  <cols>
    <col min="5" max="5" width="10.109375" bestFit="1" customWidth="1"/>
  </cols>
  <sheetData>
    <row r="3" spans="2:7">
      <c r="B3" s="10"/>
      <c r="C3" s="10"/>
      <c r="D3" s="10"/>
      <c r="E3" s="10"/>
      <c r="F3" s="10"/>
      <c r="G3" s="10"/>
    </row>
    <row r="6" spans="2:7">
      <c r="D6" s="10"/>
      <c r="E6" s="33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CBEC0-DE39-4227-AA66-E461D601B838}">
  <dimension ref="A1:V761"/>
  <sheetViews>
    <sheetView topLeftCell="A136" workbookViewId="0">
      <selection activeCell="J119" sqref="J119"/>
    </sheetView>
  </sheetViews>
  <sheetFormatPr defaultRowHeight="13.2"/>
  <cols>
    <col min="3" max="3" width="12.5546875" customWidth="1"/>
  </cols>
  <sheetData>
    <row r="1" spans="1:5">
      <c r="A1" s="14" t="s">
        <v>214</v>
      </c>
      <c r="B1" t="s">
        <v>215</v>
      </c>
      <c r="C1" t="s">
        <v>256</v>
      </c>
      <c r="D1" t="s">
        <v>257</v>
      </c>
      <c r="E1" t="s">
        <v>258</v>
      </c>
    </row>
    <row r="2" spans="1:5">
      <c r="A2" s="14" t="s">
        <v>216</v>
      </c>
      <c r="B2" t="s">
        <v>217</v>
      </c>
      <c r="C2" t="s">
        <v>259</v>
      </c>
      <c r="D2" t="s">
        <v>260</v>
      </c>
      <c r="E2" t="s">
        <v>261</v>
      </c>
    </row>
    <row r="3" spans="1:5">
      <c r="A3" s="14" t="s">
        <v>218</v>
      </c>
      <c r="B3" t="s">
        <v>219</v>
      </c>
      <c r="C3" t="s">
        <v>262</v>
      </c>
      <c r="D3" t="s">
        <v>263</v>
      </c>
      <c r="E3" t="s">
        <v>264</v>
      </c>
    </row>
    <row r="4" spans="1:5">
      <c r="A4" s="14" t="s">
        <v>220</v>
      </c>
      <c r="B4" t="s">
        <v>221</v>
      </c>
      <c r="C4" t="s">
        <v>265</v>
      </c>
      <c r="D4" t="s">
        <v>266</v>
      </c>
      <c r="E4" t="s">
        <v>267</v>
      </c>
    </row>
    <row r="5" spans="1:5">
      <c r="A5" s="14" t="s">
        <v>222</v>
      </c>
      <c r="B5" t="s">
        <v>223</v>
      </c>
      <c r="C5" t="s">
        <v>268</v>
      </c>
      <c r="D5" t="s">
        <v>269</v>
      </c>
      <c r="E5" t="s">
        <v>270</v>
      </c>
    </row>
    <row r="6" spans="1:5">
      <c r="A6" s="14" t="s">
        <v>224</v>
      </c>
      <c r="B6" t="s">
        <v>225</v>
      </c>
      <c r="C6" t="s">
        <v>271</v>
      </c>
      <c r="D6" t="s">
        <v>272</v>
      </c>
    </row>
    <row r="7" spans="1:5">
      <c r="A7" s="14" t="s">
        <v>69</v>
      </c>
    </row>
    <row r="8" spans="1:5">
      <c r="A8" s="14" t="s">
        <v>226</v>
      </c>
      <c r="B8" t="s">
        <v>227</v>
      </c>
      <c r="C8" t="s">
        <v>273</v>
      </c>
      <c r="D8" t="s">
        <v>274</v>
      </c>
      <c r="E8" t="s">
        <v>275</v>
      </c>
    </row>
    <row r="9" spans="1:5">
      <c r="A9" s="14" t="s">
        <v>69</v>
      </c>
    </row>
    <row r="10" spans="1:5">
      <c r="A10" s="14" t="s">
        <v>228</v>
      </c>
      <c r="B10" t="s">
        <v>229</v>
      </c>
      <c r="C10" t="s">
        <v>276</v>
      </c>
      <c r="D10" t="s">
        <v>277</v>
      </c>
      <c r="E10" t="s">
        <v>278</v>
      </c>
    </row>
    <row r="11" spans="1:5">
      <c r="A11" s="14" t="s">
        <v>230</v>
      </c>
      <c r="B11" t="s">
        <v>231</v>
      </c>
      <c r="C11" t="s">
        <v>279</v>
      </c>
      <c r="D11" t="s">
        <v>277</v>
      </c>
      <c r="E11" t="s">
        <v>280</v>
      </c>
    </row>
    <row r="12" spans="1:5">
      <c r="A12" s="14" t="s">
        <v>69</v>
      </c>
    </row>
    <row r="13" spans="1:5">
      <c r="A13" s="14" t="s">
        <v>232</v>
      </c>
      <c r="B13" t="s">
        <v>233</v>
      </c>
      <c r="C13" t="s">
        <v>281</v>
      </c>
      <c r="D13" t="s">
        <v>282</v>
      </c>
    </row>
    <row r="14" spans="1:5">
      <c r="A14" s="14" t="s">
        <v>234</v>
      </c>
      <c r="B14" t="s">
        <v>235</v>
      </c>
      <c r="C14" t="s">
        <v>283</v>
      </c>
      <c r="D14" t="s">
        <v>284</v>
      </c>
      <c r="E14" t="s">
        <v>285</v>
      </c>
    </row>
    <row r="15" spans="1:5">
      <c r="A15" s="14" t="s">
        <v>69</v>
      </c>
    </row>
    <row r="16" spans="1:5">
      <c r="A16" s="14" t="s">
        <v>236</v>
      </c>
      <c r="B16" t="s">
        <v>237</v>
      </c>
      <c r="C16" t="s">
        <v>286</v>
      </c>
      <c r="D16" t="s">
        <v>287</v>
      </c>
      <c r="E16" t="s">
        <v>288</v>
      </c>
    </row>
    <row r="17" spans="1:5">
      <c r="A17" s="14" t="s">
        <v>69</v>
      </c>
      <c r="B17" t="s">
        <v>238</v>
      </c>
      <c r="C17" t="s">
        <v>289</v>
      </c>
      <c r="D17" t="s">
        <v>290</v>
      </c>
      <c r="E17" t="s">
        <v>239</v>
      </c>
    </row>
    <row r="18" spans="1:5">
      <c r="A18" s="14" t="s">
        <v>214</v>
      </c>
      <c r="B18" t="s">
        <v>215</v>
      </c>
      <c r="C18" t="s">
        <v>256</v>
      </c>
      <c r="D18" t="s">
        <v>291</v>
      </c>
      <c r="E18" t="s">
        <v>292</v>
      </c>
    </row>
    <row r="19" spans="1:5">
      <c r="A19" s="14" t="s">
        <v>69</v>
      </c>
    </row>
    <row r="20" spans="1:5">
      <c r="A20" s="14" t="s">
        <v>236</v>
      </c>
      <c r="B20" t="s">
        <v>240</v>
      </c>
      <c r="C20">
        <v>6853800</v>
      </c>
    </row>
    <row r="21" spans="1:5">
      <c r="A21" s="14" t="s">
        <v>69</v>
      </c>
      <c r="B21" t="s">
        <v>241</v>
      </c>
      <c r="C21" t="s">
        <v>293</v>
      </c>
      <c r="D21" t="s">
        <v>294</v>
      </c>
      <c r="E21" t="s">
        <v>295</v>
      </c>
    </row>
    <row r="22" spans="1:5">
      <c r="A22" s="14" t="s">
        <v>69</v>
      </c>
      <c r="B22" t="s">
        <v>296</v>
      </c>
      <c r="C22" t="s">
        <v>297</v>
      </c>
      <c r="D22" t="s">
        <v>298</v>
      </c>
      <c r="E22" t="s">
        <v>299</v>
      </c>
    </row>
    <row r="23" spans="1:5">
      <c r="A23" s="14" t="s">
        <v>69</v>
      </c>
    </row>
    <row r="24" spans="1:5">
      <c r="A24" s="14" t="s">
        <v>236</v>
      </c>
      <c r="B24" t="s">
        <v>242</v>
      </c>
      <c r="C24" t="s">
        <v>300</v>
      </c>
      <c r="D24" t="s">
        <v>301</v>
      </c>
      <c r="E24" t="s">
        <v>302</v>
      </c>
    </row>
    <row r="25" spans="1:5">
      <c r="A25" s="14" t="s">
        <v>69</v>
      </c>
      <c r="B25" t="s">
        <v>243</v>
      </c>
      <c r="C25" t="s">
        <v>303</v>
      </c>
      <c r="D25" t="s">
        <v>304</v>
      </c>
      <c r="E25" t="s">
        <v>305</v>
      </c>
    </row>
    <row r="26" spans="1:5">
      <c r="A26" s="14" t="s">
        <v>69</v>
      </c>
      <c r="B26" t="s">
        <v>244</v>
      </c>
      <c r="C26" t="s">
        <v>306</v>
      </c>
      <c r="D26" t="s">
        <v>307</v>
      </c>
      <c r="E26" t="s">
        <v>245</v>
      </c>
    </row>
    <row r="27" spans="1:5">
      <c r="A27" s="14" t="s">
        <v>69</v>
      </c>
      <c r="B27" t="s">
        <v>246</v>
      </c>
      <c r="C27" t="s">
        <v>247</v>
      </c>
    </row>
    <row r="28" spans="1:5">
      <c r="A28" s="14" t="s">
        <v>69</v>
      </c>
    </row>
    <row r="29" spans="1:5">
      <c r="A29" s="14" t="s">
        <v>248</v>
      </c>
      <c r="B29" t="s">
        <v>249</v>
      </c>
      <c r="C29" t="s">
        <v>250</v>
      </c>
      <c r="D29">
        <v>5471</v>
      </c>
      <c r="E29" t="s">
        <v>308</v>
      </c>
    </row>
    <row r="30" spans="1:5">
      <c r="A30" s="14" t="s">
        <v>70</v>
      </c>
      <c r="B30" t="s">
        <v>251</v>
      </c>
      <c r="C30" t="s">
        <v>309</v>
      </c>
    </row>
    <row r="31" spans="1:5">
      <c r="A31" s="14" t="s">
        <v>25</v>
      </c>
      <c r="B31">
        <v>6853800</v>
      </c>
      <c r="C31" s="86">
        <v>43466</v>
      </c>
      <c r="D31">
        <v>68.7</v>
      </c>
      <c r="E31" t="s">
        <v>252</v>
      </c>
    </row>
    <row r="32" spans="1:5">
      <c r="A32" s="14" t="s">
        <v>25</v>
      </c>
      <c r="B32">
        <v>6853800</v>
      </c>
      <c r="C32" s="86">
        <v>43467</v>
      </c>
      <c r="D32">
        <v>65.900000000000006</v>
      </c>
      <c r="E32" t="s">
        <v>252</v>
      </c>
    </row>
    <row r="33" spans="1:5">
      <c r="A33" s="14" t="s">
        <v>25</v>
      </c>
      <c r="B33">
        <v>6853800</v>
      </c>
      <c r="C33" s="86">
        <v>43468</v>
      </c>
      <c r="D33">
        <v>62.1</v>
      </c>
      <c r="E33" t="s">
        <v>252</v>
      </c>
    </row>
    <row r="34" spans="1:5">
      <c r="A34" s="14" t="s">
        <v>25</v>
      </c>
      <c r="B34">
        <v>6853800</v>
      </c>
      <c r="C34" s="86">
        <v>43469</v>
      </c>
      <c r="D34">
        <v>51.7</v>
      </c>
      <c r="E34" t="s">
        <v>253</v>
      </c>
    </row>
    <row r="35" spans="1:5">
      <c r="A35" s="14" t="s">
        <v>25</v>
      </c>
      <c r="B35">
        <v>6853800</v>
      </c>
      <c r="C35" s="86">
        <v>43470</v>
      </c>
      <c r="D35">
        <v>44.9</v>
      </c>
      <c r="E35" t="s">
        <v>253</v>
      </c>
    </row>
    <row r="36" spans="1:5">
      <c r="A36" s="14" t="s">
        <v>25</v>
      </c>
      <c r="B36">
        <v>6853800</v>
      </c>
      <c r="C36" s="86">
        <v>43471</v>
      </c>
      <c r="D36">
        <v>42</v>
      </c>
      <c r="E36" t="s">
        <v>253</v>
      </c>
    </row>
    <row r="37" spans="1:5">
      <c r="A37" s="14" t="s">
        <v>25</v>
      </c>
      <c r="B37">
        <v>6853800</v>
      </c>
      <c r="C37" s="86">
        <v>43472</v>
      </c>
      <c r="D37">
        <v>42.5</v>
      </c>
      <c r="E37" t="s">
        <v>253</v>
      </c>
    </row>
    <row r="38" spans="1:5">
      <c r="A38" s="14" t="s">
        <v>25</v>
      </c>
      <c r="B38">
        <v>6853800</v>
      </c>
      <c r="C38" s="86">
        <v>43473</v>
      </c>
      <c r="D38">
        <v>40.6</v>
      </c>
      <c r="E38" t="s">
        <v>253</v>
      </c>
    </row>
    <row r="39" spans="1:5">
      <c r="A39" s="14" t="s">
        <v>25</v>
      </c>
      <c r="B39">
        <v>6853800</v>
      </c>
      <c r="C39" s="86">
        <v>43474</v>
      </c>
      <c r="D39">
        <v>30.7</v>
      </c>
      <c r="E39" t="s">
        <v>253</v>
      </c>
    </row>
    <row r="40" spans="1:5">
      <c r="A40" s="14" t="s">
        <v>25</v>
      </c>
      <c r="B40">
        <v>6853800</v>
      </c>
      <c r="C40" s="86">
        <v>43475</v>
      </c>
      <c r="D40">
        <v>31.9</v>
      </c>
      <c r="E40" t="s">
        <v>252</v>
      </c>
    </row>
    <row r="41" spans="1:5">
      <c r="A41" s="14" t="s">
        <v>25</v>
      </c>
      <c r="B41">
        <v>6853800</v>
      </c>
      <c r="C41" s="86">
        <v>43476</v>
      </c>
      <c r="D41">
        <v>35.700000000000003</v>
      </c>
      <c r="E41" t="s">
        <v>253</v>
      </c>
    </row>
    <row r="42" spans="1:5">
      <c r="A42" s="14" t="s">
        <v>25</v>
      </c>
      <c r="B42">
        <v>6853800</v>
      </c>
      <c r="C42" s="86">
        <v>43477</v>
      </c>
      <c r="D42">
        <v>30.4</v>
      </c>
      <c r="E42" t="s">
        <v>253</v>
      </c>
    </row>
    <row r="43" spans="1:5">
      <c r="A43" s="14" t="s">
        <v>25</v>
      </c>
      <c r="B43">
        <v>6853800</v>
      </c>
      <c r="C43" s="86">
        <v>43478</v>
      </c>
      <c r="D43">
        <v>32.1</v>
      </c>
      <c r="E43" t="s">
        <v>253</v>
      </c>
    </row>
    <row r="44" spans="1:5">
      <c r="A44" s="14" t="s">
        <v>25</v>
      </c>
      <c r="B44">
        <v>6853800</v>
      </c>
      <c r="C44" s="86">
        <v>43479</v>
      </c>
      <c r="D44">
        <v>32.1</v>
      </c>
      <c r="E44" t="s">
        <v>253</v>
      </c>
    </row>
    <row r="45" spans="1:5">
      <c r="A45" s="14" t="s">
        <v>25</v>
      </c>
      <c r="B45">
        <v>6853800</v>
      </c>
      <c r="C45" s="86">
        <v>43480</v>
      </c>
      <c r="D45">
        <v>31.6</v>
      </c>
      <c r="E45" t="s">
        <v>253</v>
      </c>
    </row>
    <row r="46" spans="1:5">
      <c r="A46" s="14" t="s">
        <v>25</v>
      </c>
      <c r="B46">
        <v>6853800</v>
      </c>
      <c r="C46" s="86">
        <v>43481</v>
      </c>
      <c r="D46">
        <v>29.7</v>
      </c>
      <c r="E46" t="s">
        <v>253</v>
      </c>
    </row>
    <row r="47" spans="1:5">
      <c r="A47" s="14" t="s">
        <v>25</v>
      </c>
      <c r="B47">
        <v>6853800</v>
      </c>
      <c r="C47" s="86">
        <v>43482</v>
      </c>
      <c r="D47">
        <v>30.3</v>
      </c>
      <c r="E47" t="s">
        <v>253</v>
      </c>
    </row>
    <row r="48" spans="1:5">
      <c r="A48" s="14" t="s">
        <v>25</v>
      </c>
      <c r="B48">
        <v>6853800</v>
      </c>
      <c r="C48" s="86">
        <v>43483</v>
      </c>
      <c r="D48">
        <v>30.6</v>
      </c>
      <c r="E48" t="s">
        <v>253</v>
      </c>
    </row>
    <row r="49" spans="1:7">
      <c r="A49" s="14" t="s">
        <v>25</v>
      </c>
      <c r="B49">
        <v>6853800</v>
      </c>
      <c r="C49" s="86">
        <v>43484</v>
      </c>
      <c r="D49">
        <v>23.5</v>
      </c>
      <c r="E49" t="s">
        <v>253</v>
      </c>
    </row>
    <row r="50" spans="1:7">
      <c r="A50" s="14" t="s">
        <v>25</v>
      </c>
      <c r="B50">
        <v>6853800</v>
      </c>
      <c r="C50" s="86">
        <v>43485</v>
      </c>
      <c r="D50">
        <v>28.8</v>
      </c>
      <c r="E50" t="s">
        <v>253</v>
      </c>
    </row>
    <row r="51" spans="1:7">
      <c r="A51" s="14" t="s">
        <v>25</v>
      </c>
      <c r="B51">
        <v>6853800</v>
      </c>
      <c r="C51" s="86">
        <v>43486</v>
      </c>
      <c r="D51">
        <v>31.7</v>
      </c>
      <c r="E51" t="s">
        <v>253</v>
      </c>
    </row>
    <row r="52" spans="1:7">
      <c r="A52" s="14" t="s">
        <v>25</v>
      </c>
      <c r="B52">
        <v>6853800</v>
      </c>
      <c r="C52" s="86">
        <v>43487</v>
      </c>
      <c r="D52">
        <v>26.8</v>
      </c>
      <c r="E52" t="s">
        <v>253</v>
      </c>
    </row>
    <row r="53" spans="1:7">
      <c r="A53" s="14" t="s">
        <v>25</v>
      </c>
      <c r="B53">
        <v>6853800</v>
      </c>
      <c r="C53" s="86">
        <v>43488</v>
      </c>
      <c r="D53">
        <v>23.6</v>
      </c>
      <c r="E53" t="s">
        <v>253</v>
      </c>
    </row>
    <row r="54" spans="1:7">
      <c r="A54" s="14" t="s">
        <v>25</v>
      </c>
      <c r="B54">
        <v>6853800</v>
      </c>
      <c r="C54" s="86">
        <v>43489</v>
      </c>
      <c r="D54">
        <v>23.9</v>
      </c>
      <c r="E54" t="s">
        <v>252</v>
      </c>
    </row>
    <row r="55" spans="1:7">
      <c r="A55" s="14" t="s">
        <v>25</v>
      </c>
      <c r="B55">
        <v>6853800</v>
      </c>
      <c r="C55" s="86">
        <v>43490</v>
      </c>
      <c r="D55">
        <v>21.4</v>
      </c>
      <c r="E55" t="s">
        <v>252</v>
      </c>
    </row>
    <row r="56" spans="1:7">
      <c r="A56" s="14" t="s">
        <v>25</v>
      </c>
      <c r="B56">
        <v>6853800</v>
      </c>
      <c r="C56" s="86">
        <v>43491</v>
      </c>
      <c r="D56">
        <v>24.3</v>
      </c>
      <c r="E56" t="s">
        <v>253</v>
      </c>
    </row>
    <row r="57" spans="1:7">
      <c r="A57" s="14" t="s">
        <v>25</v>
      </c>
      <c r="B57">
        <v>6853800</v>
      </c>
      <c r="C57" s="86">
        <v>43492</v>
      </c>
      <c r="D57">
        <v>25.6</v>
      </c>
      <c r="E57" t="s">
        <v>253</v>
      </c>
    </row>
    <row r="58" spans="1:7">
      <c r="A58" s="14" t="s">
        <v>25</v>
      </c>
      <c r="B58">
        <v>6853800</v>
      </c>
      <c r="C58" s="86">
        <v>43493</v>
      </c>
      <c r="D58">
        <v>37.6</v>
      </c>
      <c r="E58" t="s">
        <v>252</v>
      </c>
    </row>
    <row r="59" spans="1:7">
      <c r="A59" s="14" t="s">
        <v>25</v>
      </c>
      <c r="B59">
        <v>6853800</v>
      </c>
      <c r="C59" s="86">
        <v>43494</v>
      </c>
      <c r="D59">
        <v>32.5</v>
      </c>
      <c r="E59" t="s">
        <v>252</v>
      </c>
    </row>
    <row r="60" spans="1:7">
      <c r="A60" s="14" t="s">
        <v>25</v>
      </c>
      <c r="B60">
        <v>6853800</v>
      </c>
      <c r="C60" s="86">
        <v>43495</v>
      </c>
      <c r="D60">
        <v>24.2</v>
      </c>
      <c r="E60" t="s">
        <v>252</v>
      </c>
    </row>
    <row r="61" spans="1:7">
      <c r="A61" s="14" t="s">
        <v>25</v>
      </c>
      <c r="B61">
        <v>6853800</v>
      </c>
      <c r="C61" s="86">
        <v>43496</v>
      </c>
      <c r="D61">
        <v>23.2</v>
      </c>
      <c r="E61" t="s">
        <v>252</v>
      </c>
      <c r="F61">
        <f>GEOMEAN(D31:D61)</f>
        <v>33.126697204005147</v>
      </c>
      <c r="G61">
        <f>AVERAGE(D31:D61)</f>
        <v>34.858064516129033</v>
      </c>
    </row>
    <row r="62" spans="1:7">
      <c r="A62" s="14" t="s">
        <v>25</v>
      </c>
      <c r="B62">
        <v>6853800</v>
      </c>
      <c r="C62" s="86">
        <v>43497</v>
      </c>
      <c r="D62">
        <v>26.1</v>
      </c>
      <c r="E62" t="s">
        <v>252</v>
      </c>
    </row>
    <row r="63" spans="1:7">
      <c r="A63" s="14" t="s">
        <v>25</v>
      </c>
      <c r="B63">
        <v>6853800</v>
      </c>
      <c r="C63" s="86">
        <v>43498</v>
      </c>
      <c r="D63">
        <v>31.7</v>
      </c>
      <c r="E63" t="s">
        <v>253</v>
      </c>
    </row>
    <row r="64" spans="1:7">
      <c r="A64" s="14" t="s">
        <v>25</v>
      </c>
      <c r="B64">
        <v>6853800</v>
      </c>
      <c r="C64" s="86">
        <v>43499</v>
      </c>
      <c r="D64">
        <v>42.7</v>
      </c>
      <c r="E64" t="s">
        <v>253</v>
      </c>
    </row>
    <row r="65" spans="1:5">
      <c r="A65" s="14" t="s">
        <v>25</v>
      </c>
      <c r="B65">
        <v>6853800</v>
      </c>
      <c r="C65" s="86">
        <v>43500</v>
      </c>
      <c r="D65">
        <v>42.4</v>
      </c>
      <c r="E65" t="s">
        <v>252</v>
      </c>
    </row>
    <row r="66" spans="1:5">
      <c r="A66" s="14" t="s">
        <v>25</v>
      </c>
      <c r="B66">
        <v>6853800</v>
      </c>
      <c r="C66" s="86">
        <v>43501</v>
      </c>
      <c r="D66">
        <v>24.4</v>
      </c>
      <c r="E66" t="s">
        <v>252</v>
      </c>
    </row>
    <row r="67" spans="1:5">
      <c r="A67" s="14" t="s">
        <v>25</v>
      </c>
      <c r="B67">
        <v>6853800</v>
      </c>
      <c r="C67" s="86">
        <v>43502</v>
      </c>
      <c r="D67">
        <v>22.7</v>
      </c>
      <c r="E67" t="s">
        <v>252</v>
      </c>
    </row>
    <row r="68" spans="1:5">
      <c r="A68" s="14" t="s">
        <v>25</v>
      </c>
      <c r="B68">
        <v>6853800</v>
      </c>
      <c r="C68" s="86">
        <v>43503</v>
      </c>
      <c r="D68">
        <v>20.399999999999999</v>
      </c>
      <c r="E68" t="s">
        <v>252</v>
      </c>
    </row>
    <row r="69" spans="1:5">
      <c r="A69" s="14" t="s">
        <v>25</v>
      </c>
      <c r="B69">
        <v>6853800</v>
      </c>
      <c r="C69" s="86">
        <v>43504</v>
      </c>
      <c r="D69">
        <v>15.9</v>
      </c>
      <c r="E69" t="s">
        <v>252</v>
      </c>
    </row>
    <row r="70" spans="1:5">
      <c r="A70" s="14" t="s">
        <v>25</v>
      </c>
      <c r="B70">
        <v>6853800</v>
      </c>
      <c r="C70" s="86">
        <v>43505</v>
      </c>
      <c r="D70">
        <v>17.899999999999999</v>
      </c>
      <c r="E70" t="s">
        <v>252</v>
      </c>
    </row>
    <row r="71" spans="1:5">
      <c r="A71" s="14" t="s">
        <v>25</v>
      </c>
      <c r="B71">
        <v>6853800</v>
      </c>
      <c r="C71" s="86">
        <v>43506</v>
      </c>
      <c r="D71">
        <v>20.2</v>
      </c>
      <c r="E71" t="s">
        <v>253</v>
      </c>
    </row>
    <row r="72" spans="1:5">
      <c r="A72" s="14" t="s">
        <v>25</v>
      </c>
      <c r="B72">
        <v>6853800</v>
      </c>
      <c r="C72" s="86">
        <v>43507</v>
      </c>
      <c r="D72">
        <v>24.6</v>
      </c>
      <c r="E72" t="s">
        <v>253</v>
      </c>
    </row>
    <row r="73" spans="1:5">
      <c r="A73" s="14" t="s">
        <v>25</v>
      </c>
      <c r="B73">
        <v>6853800</v>
      </c>
      <c r="C73" s="86">
        <v>43508</v>
      </c>
      <c r="D73">
        <v>25.3</v>
      </c>
      <c r="E73" t="s">
        <v>253</v>
      </c>
    </row>
    <row r="74" spans="1:5">
      <c r="A74" s="14" t="s">
        <v>25</v>
      </c>
      <c r="B74">
        <v>6853800</v>
      </c>
      <c r="C74" s="86">
        <v>43509</v>
      </c>
      <c r="D74">
        <v>27.9</v>
      </c>
      <c r="E74" t="s">
        <v>253</v>
      </c>
    </row>
    <row r="75" spans="1:5">
      <c r="A75" s="14" t="s">
        <v>25</v>
      </c>
      <c r="B75">
        <v>6853800</v>
      </c>
      <c r="C75" s="86">
        <v>43510</v>
      </c>
      <c r="D75">
        <v>29</v>
      </c>
      <c r="E75" t="s">
        <v>253</v>
      </c>
    </row>
    <row r="76" spans="1:5">
      <c r="A76" s="14" t="s">
        <v>25</v>
      </c>
      <c r="B76">
        <v>6853800</v>
      </c>
      <c r="C76" s="86">
        <v>43511</v>
      </c>
      <c r="D76">
        <v>23.6</v>
      </c>
      <c r="E76" t="s">
        <v>252</v>
      </c>
    </row>
    <row r="77" spans="1:5">
      <c r="A77" s="14" t="s">
        <v>25</v>
      </c>
      <c r="B77">
        <v>6853800</v>
      </c>
      <c r="C77" s="86">
        <v>43512</v>
      </c>
      <c r="D77">
        <v>21.5</v>
      </c>
      <c r="E77" t="s">
        <v>252</v>
      </c>
    </row>
    <row r="78" spans="1:5">
      <c r="A78" s="14" t="s">
        <v>25</v>
      </c>
      <c r="B78">
        <v>6853800</v>
      </c>
      <c r="C78" s="86">
        <v>43513</v>
      </c>
      <c r="D78">
        <v>20.3</v>
      </c>
      <c r="E78" t="s">
        <v>252</v>
      </c>
    </row>
    <row r="79" spans="1:5">
      <c r="A79" s="14" t="s">
        <v>25</v>
      </c>
      <c r="B79">
        <v>6853800</v>
      </c>
      <c r="C79" s="86">
        <v>43514</v>
      </c>
      <c r="D79">
        <v>18.2</v>
      </c>
      <c r="E79" t="s">
        <v>252</v>
      </c>
    </row>
    <row r="80" spans="1:5">
      <c r="A80" s="14" t="s">
        <v>25</v>
      </c>
      <c r="B80">
        <v>6853800</v>
      </c>
      <c r="C80" s="86">
        <v>43515</v>
      </c>
      <c r="D80">
        <v>18.100000000000001</v>
      </c>
      <c r="E80" t="s">
        <v>252</v>
      </c>
    </row>
    <row r="81" spans="1:7">
      <c r="A81" s="14" t="s">
        <v>25</v>
      </c>
      <c r="B81">
        <v>6853800</v>
      </c>
      <c r="C81" s="86">
        <v>43516</v>
      </c>
      <c r="D81">
        <v>20.5</v>
      </c>
      <c r="E81" t="s">
        <v>253</v>
      </c>
    </row>
    <row r="82" spans="1:7">
      <c r="A82" s="14" t="s">
        <v>25</v>
      </c>
      <c r="B82">
        <v>6853800</v>
      </c>
      <c r="C82" s="86">
        <v>43517</v>
      </c>
      <c r="D82">
        <v>20.6</v>
      </c>
      <c r="E82" t="s">
        <v>253</v>
      </c>
    </row>
    <row r="83" spans="1:7">
      <c r="A83" s="14" t="s">
        <v>25</v>
      </c>
      <c r="B83">
        <v>6853800</v>
      </c>
      <c r="C83" s="86">
        <v>43518</v>
      </c>
      <c r="D83">
        <v>23.9</v>
      </c>
      <c r="E83" t="s">
        <v>253</v>
      </c>
    </row>
    <row r="84" spans="1:7">
      <c r="A84" s="14" t="s">
        <v>25</v>
      </c>
      <c r="B84">
        <v>6853800</v>
      </c>
      <c r="C84" s="86">
        <v>43519</v>
      </c>
      <c r="D84">
        <v>24.1</v>
      </c>
      <c r="E84" t="s">
        <v>252</v>
      </c>
    </row>
    <row r="85" spans="1:7">
      <c r="A85" s="14" t="s">
        <v>25</v>
      </c>
      <c r="B85">
        <v>6853800</v>
      </c>
      <c r="C85" s="86">
        <v>43520</v>
      </c>
      <c r="D85">
        <v>21.9</v>
      </c>
      <c r="E85" t="s">
        <v>252</v>
      </c>
    </row>
    <row r="86" spans="1:7">
      <c r="A86" s="14" t="s">
        <v>25</v>
      </c>
      <c r="B86">
        <v>6853800</v>
      </c>
      <c r="C86" s="86">
        <v>43521</v>
      </c>
      <c r="D86">
        <v>21.9</v>
      </c>
      <c r="E86" t="s">
        <v>252</v>
      </c>
    </row>
    <row r="87" spans="1:7">
      <c r="A87" s="14" t="s">
        <v>25</v>
      </c>
      <c r="B87">
        <v>6853800</v>
      </c>
      <c r="C87" s="86">
        <v>43522</v>
      </c>
      <c r="D87">
        <v>22.3</v>
      </c>
      <c r="E87" t="s">
        <v>252</v>
      </c>
    </row>
    <row r="88" spans="1:7">
      <c r="A88" s="14" t="s">
        <v>25</v>
      </c>
      <c r="B88">
        <v>6853800</v>
      </c>
      <c r="C88" s="86">
        <v>43523</v>
      </c>
      <c r="D88">
        <v>22.4</v>
      </c>
      <c r="E88" t="s">
        <v>252</v>
      </c>
    </row>
    <row r="89" spans="1:7">
      <c r="A89" s="14" t="s">
        <v>25</v>
      </c>
      <c r="B89">
        <v>6853800</v>
      </c>
      <c r="C89" s="86">
        <v>43524</v>
      </c>
      <c r="D89">
        <v>23.8</v>
      </c>
      <c r="E89" t="s">
        <v>252</v>
      </c>
      <c r="G89">
        <f>AVERAGE(D62:D89)</f>
        <v>24.082142857142856</v>
      </c>
    </row>
    <row r="90" spans="1:7">
      <c r="A90" s="14" t="s">
        <v>25</v>
      </c>
      <c r="B90">
        <v>6853800</v>
      </c>
      <c r="C90" s="86">
        <v>43525</v>
      </c>
      <c r="D90">
        <v>25.6</v>
      </c>
      <c r="E90" t="s">
        <v>253</v>
      </c>
    </row>
    <row r="91" spans="1:7">
      <c r="A91" s="14" t="s">
        <v>25</v>
      </c>
      <c r="B91">
        <v>6853800</v>
      </c>
      <c r="C91" s="86">
        <v>43526</v>
      </c>
      <c r="D91">
        <v>23.9</v>
      </c>
      <c r="E91" t="s">
        <v>252</v>
      </c>
    </row>
    <row r="92" spans="1:7">
      <c r="A92" s="14" t="s">
        <v>25</v>
      </c>
      <c r="B92">
        <v>6853800</v>
      </c>
      <c r="C92" s="86">
        <v>43527</v>
      </c>
      <c r="D92">
        <v>20.399999999999999</v>
      </c>
      <c r="E92" t="s">
        <v>252</v>
      </c>
    </row>
    <row r="93" spans="1:7">
      <c r="A93" s="14" t="s">
        <v>25</v>
      </c>
      <c r="B93">
        <v>6853800</v>
      </c>
      <c r="C93" s="86">
        <v>43528</v>
      </c>
      <c r="D93">
        <v>25.2</v>
      </c>
      <c r="E93" t="s">
        <v>252</v>
      </c>
    </row>
    <row r="94" spans="1:7">
      <c r="A94" s="14" t="s">
        <v>25</v>
      </c>
      <c r="B94">
        <v>6853800</v>
      </c>
      <c r="C94" s="86">
        <v>43529</v>
      </c>
      <c r="D94">
        <v>27</v>
      </c>
      <c r="E94" t="s">
        <v>253</v>
      </c>
    </row>
    <row r="95" spans="1:7">
      <c r="A95" s="14" t="s">
        <v>25</v>
      </c>
      <c r="B95">
        <v>6853800</v>
      </c>
      <c r="C95" s="86">
        <v>43530</v>
      </c>
      <c r="D95">
        <v>28.9</v>
      </c>
      <c r="E95" t="s">
        <v>253</v>
      </c>
    </row>
    <row r="96" spans="1:7">
      <c r="A96" s="14" t="s">
        <v>25</v>
      </c>
      <c r="B96">
        <v>6853800</v>
      </c>
      <c r="C96" s="86">
        <v>43531</v>
      </c>
      <c r="D96">
        <v>30.9</v>
      </c>
      <c r="E96" t="s">
        <v>253</v>
      </c>
    </row>
    <row r="97" spans="1:22">
      <c r="A97" s="14" t="s">
        <v>25</v>
      </c>
      <c r="B97">
        <v>6853800</v>
      </c>
      <c r="C97" s="86">
        <v>43532</v>
      </c>
      <c r="D97">
        <v>31.4</v>
      </c>
      <c r="E97" t="s">
        <v>253</v>
      </c>
    </row>
    <row r="98" spans="1:22">
      <c r="A98" s="14" t="s">
        <v>25</v>
      </c>
      <c r="B98">
        <v>6853800</v>
      </c>
      <c r="C98" s="86">
        <v>43533</v>
      </c>
      <c r="D98">
        <v>97.9</v>
      </c>
      <c r="E98" t="s">
        <v>253</v>
      </c>
    </row>
    <row r="99" spans="1:22">
      <c r="A99" s="14" t="s">
        <v>25</v>
      </c>
      <c r="B99">
        <v>6853800</v>
      </c>
      <c r="C99" s="86">
        <v>43534</v>
      </c>
      <c r="D99">
        <v>307</v>
      </c>
      <c r="E99" t="s">
        <v>253</v>
      </c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</row>
    <row r="100" spans="1:22">
      <c r="A100" s="14" t="s">
        <v>25</v>
      </c>
      <c r="B100">
        <v>6853800</v>
      </c>
      <c r="C100" s="86">
        <v>43535</v>
      </c>
      <c r="D100">
        <v>454</v>
      </c>
      <c r="E100" t="s">
        <v>253</v>
      </c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</row>
    <row r="101" spans="1:22">
      <c r="A101" s="14" t="s">
        <v>25</v>
      </c>
      <c r="B101">
        <v>6853800</v>
      </c>
      <c r="C101" s="86">
        <v>43536</v>
      </c>
      <c r="D101">
        <v>608</v>
      </c>
      <c r="E101" t="s">
        <v>253</v>
      </c>
      <c r="V101" s="87"/>
    </row>
    <row r="102" spans="1:22">
      <c r="A102" s="14" t="s">
        <v>25</v>
      </c>
      <c r="B102">
        <v>6853800</v>
      </c>
      <c r="C102" s="86">
        <v>43537</v>
      </c>
      <c r="D102">
        <v>740</v>
      </c>
      <c r="E102" t="s">
        <v>253</v>
      </c>
    </row>
    <row r="103" spans="1:22">
      <c r="A103" s="14" t="s">
        <v>25</v>
      </c>
      <c r="B103">
        <v>6853800</v>
      </c>
      <c r="C103" s="86">
        <v>43538</v>
      </c>
      <c r="D103">
        <v>1120</v>
      </c>
      <c r="E103" t="s">
        <v>253</v>
      </c>
    </row>
    <row r="104" spans="1:22">
      <c r="A104" s="14" t="s">
        <v>25</v>
      </c>
      <c r="B104">
        <v>6853800</v>
      </c>
      <c r="C104" s="86">
        <v>43539</v>
      </c>
      <c r="D104">
        <v>520</v>
      </c>
      <c r="E104" t="s">
        <v>253</v>
      </c>
    </row>
    <row r="105" spans="1:22">
      <c r="A105" s="14" t="s">
        <v>25</v>
      </c>
      <c r="B105">
        <v>6853800</v>
      </c>
      <c r="C105" s="86">
        <v>43540</v>
      </c>
      <c r="D105">
        <v>204</v>
      </c>
      <c r="E105" t="s">
        <v>253</v>
      </c>
    </row>
    <row r="106" spans="1:22">
      <c r="A106" s="14" t="s">
        <v>25</v>
      </c>
      <c r="B106">
        <v>6853800</v>
      </c>
      <c r="C106" s="86">
        <v>43541</v>
      </c>
      <c r="D106">
        <v>131</v>
      </c>
      <c r="E106" t="s">
        <v>253</v>
      </c>
    </row>
    <row r="107" spans="1:22">
      <c r="A107" s="14" t="s">
        <v>25</v>
      </c>
      <c r="B107">
        <v>6853800</v>
      </c>
      <c r="C107" s="86">
        <v>43542</v>
      </c>
      <c r="D107">
        <v>92.8</v>
      </c>
      <c r="E107" t="s">
        <v>253</v>
      </c>
    </row>
    <row r="108" spans="1:22">
      <c r="A108" s="14" t="s">
        <v>25</v>
      </c>
      <c r="B108">
        <v>6853800</v>
      </c>
      <c r="C108" s="86">
        <v>43543</v>
      </c>
      <c r="D108">
        <v>73.3</v>
      </c>
      <c r="E108" t="s">
        <v>253</v>
      </c>
    </row>
    <row r="109" spans="1:22">
      <c r="A109" s="14" t="s">
        <v>25</v>
      </c>
      <c r="B109">
        <v>6853800</v>
      </c>
      <c r="C109" s="86">
        <v>43544</v>
      </c>
      <c r="D109">
        <v>62.9</v>
      </c>
      <c r="E109" t="s">
        <v>253</v>
      </c>
    </row>
    <row r="110" spans="1:22">
      <c r="A110" s="14" t="s">
        <v>25</v>
      </c>
      <c r="B110">
        <v>6853800</v>
      </c>
      <c r="C110" s="86">
        <v>43545</v>
      </c>
      <c r="D110">
        <v>56</v>
      </c>
      <c r="E110" t="s">
        <v>252</v>
      </c>
    </row>
    <row r="111" spans="1:22">
      <c r="A111" s="14" t="s">
        <v>25</v>
      </c>
      <c r="B111">
        <v>6853800</v>
      </c>
      <c r="C111" s="86">
        <v>43546</v>
      </c>
      <c r="D111">
        <v>49.9</v>
      </c>
      <c r="E111" t="s">
        <v>252</v>
      </c>
    </row>
    <row r="112" spans="1:22">
      <c r="A112" s="14" t="s">
        <v>25</v>
      </c>
      <c r="B112">
        <v>6853800</v>
      </c>
      <c r="C112" s="86">
        <v>43547</v>
      </c>
      <c r="D112">
        <v>48</v>
      </c>
      <c r="E112" t="s">
        <v>253</v>
      </c>
    </row>
    <row r="113" spans="1:7">
      <c r="A113" s="14" t="s">
        <v>25</v>
      </c>
      <c r="B113">
        <v>6853800</v>
      </c>
      <c r="C113" s="86">
        <v>43548</v>
      </c>
      <c r="D113">
        <v>59.1</v>
      </c>
      <c r="E113" t="s">
        <v>253</v>
      </c>
    </row>
    <row r="114" spans="1:7">
      <c r="A114" s="14" t="s">
        <v>25</v>
      </c>
      <c r="B114">
        <v>6853800</v>
      </c>
      <c r="C114" s="86">
        <v>43549</v>
      </c>
      <c r="D114">
        <v>45.6</v>
      </c>
      <c r="E114" t="s">
        <v>253</v>
      </c>
    </row>
    <row r="115" spans="1:7">
      <c r="A115" s="14" t="s">
        <v>25</v>
      </c>
      <c r="B115">
        <v>6853800</v>
      </c>
      <c r="C115" s="86">
        <v>43550</v>
      </c>
      <c r="D115">
        <v>42.1</v>
      </c>
      <c r="E115" t="s">
        <v>253</v>
      </c>
    </row>
    <row r="116" spans="1:7">
      <c r="A116" s="14" t="s">
        <v>25</v>
      </c>
      <c r="B116">
        <v>6853800</v>
      </c>
      <c r="C116" s="86">
        <v>43551</v>
      </c>
      <c r="D116">
        <v>40.6</v>
      </c>
      <c r="E116" t="s">
        <v>253</v>
      </c>
    </row>
    <row r="117" spans="1:7">
      <c r="A117" s="14" t="s">
        <v>25</v>
      </c>
      <c r="B117">
        <v>6853800</v>
      </c>
      <c r="C117" s="86">
        <v>43552</v>
      </c>
      <c r="D117">
        <v>40.799999999999997</v>
      </c>
      <c r="E117" t="s">
        <v>252</v>
      </c>
    </row>
    <row r="118" spans="1:7">
      <c r="A118" s="14" t="s">
        <v>25</v>
      </c>
      <c r="B118">
        <v>6853800</v>
      </c>
      <c r="C118" s="86">
        <v>43553</v>
      </c>
      <c r="D118">
        <v>41.3</v>
      </c>
      <c r="E118" t="s">
        <v>252</v>
      </c>
    </row>
    <row r="119" spans="1:7">
      <c r="A119" s="14" t="s">
        <v>25</v>
      </c>
      <c r="B119">
        <v>6853800</v>
      </c>
      <c r="C119" s="86">
        <v>43554</v>
      </c>
      <c r="D119">
        <v>43.3</v>
      </c>
      <c r="E119" t="s">
        <v>252</v>
      </c>
    </row>
    <row r="120" spans="1:7">
      <c r="A120" s="14" t="s">
        <v>25</v>
      </c>
      <c r="B120">
        <v>6853800</v>
      </c>
      <c r="C120" s="86">
        <v>43555</v>
      </c>
      <c r="D120">
        <v>41.7</v>
      </c>
      <c r="E120" t="s">
        <v>252</v>
      </c>
      <c r="G120">
        <f>AVERAGE(D90:D120)</f>
        <v>165.56774193548392</v>
      </c>
    </row>
    <row r="121" spans="1:7">
      <c r="A121" s="14" t="s">
        <v>25</v>
      </c>
      <c r="B121">
        <v>6853800</v>
      </c>
      <c r="C121" s="86">
        <v>43556</v>
      </c>
      <c r="D121">
        <v>41</v>
      </c>
      <c r="E121" t="s">
        <v>253</v>
      </c>
    </row>
    <row r="122" spans="1:7">
      <c r="A122" s="14" t="s">
        <v>25</v>
      </c>
      <c r="B122">
        <v>6853800</v>
      </c>
      <c r="C122" s="86">
        <v>43557</v>
      </c>
      <c r="D122">
        <v>39</v>
      </c>
      <c r="E122" t="s">
        <v>253</v>
      </c>
    </row>
    <row r="123" spans="1:7">
      <c r="A123" s="14" t="s">
        <v>25</v>
      </c>
      <c r="B123">
        <v>6853800</v>
      </c>
      <c r="C123" s="86">
        <v>43558</v>
      </c>
      <c r="D123">
        <v>37.4</v>
      </c>
      <c r="E123" t="s">
        <v>253</v>
      </c>
    </row>
    <row r="124" spans="1:7">
      <c r="A124" s="14" t="s">
        <v>25</v>
      </c>
      <c r="B124">
        <v>6853800</v>
      </c>
      <c r="C124" s="86">
        <v>43559</v>
      </c>
      <c r="D124">
        <v>37.4</v>
      </c>
      <c r="E124" t="s">
        <v>253</v>
      </c>
    </row>
    <row r="125" spans="1:7">
      <c r="A125" s="14" t="s">
        <v>25</v>
      </c>
      <c r="B125">
        <v>6853800</v>
      </c>
      <c r="C125" s="86">
        <v>43560</v>
      </c>
      <c r="D125">
        <v>36.700000000000003</v>
      </c>
      <c r="E125" t="s">
        <v>253</v>
      </c>
    </row>
    <row r="126" spans="1:7">
      <c r="A126" s="14" t="s">
        <v>25</v>
      </c>
      <c r="B126">
        <v>6853800</v>
      </c>
      <c r="C126" s="86">
        <v>43561</v>
      </c>
      <c r="D126">
        <v>36.799999999999997</v>
      </c>
      <c r="E126" t="s">
        <v>253</v>
      </c>
    </row>
    <row r="127" spans="1:7">
      <c r="A127" s="14" t="s">
        <v>25</v>
      </c>
      <c r="B127">
        <v>6853800</v>
      </c>
      <c r="C127" s="86">
        <v>43562</v>
      </c>
      <c r="D127">
        <v>37.9</v>
      </c>
      <c r="E127" t="s">
        <v>253</v>
      </c>
    </row>
    <row r="128" spans="1:7">
      <c r="A128" s="14" t="s">
        <v>25</v>
      </c>
      <c r="B128">
        <v>6853800</v>
      </c>
      <c r="C128" s="86">
        <v>43563</v>
      </c>
      <c r="D128">
        <v>36.299999999999997</v>
      </c>
      <c r="E128" t="s">
        <v>253</v>
      </c>
    </row>
    <row r="129" spans="1:5">
      <c r="A129" s="14" t="s">
        <v>25</v>
      </c>
      <c r="B129">
        <v>6853800</v>
      </c>
      <c r="C129" s="86">
        <v>43564</v>
      </c>
      <c r="D129">
        <v>38.1</v>
      </c>
      <c r="E129" t="s">
        <v>253</v>
      </c>
    </row>
    <row r="130" spans="1:5">
      <c r="A130" s="14" t="s">
        <v>25</v>
      </c>
      <c r="B130">
        <v>6853800</v>
      </c>
      <c r="C130" s="86">
        <v>43565</v>
      </c>
      <c r="D130">
        <v>37</v>
      </c>
      <c r="E130" t="s">
        <v>253</v>
      </c>
    </row>
    <row r="131" spans="1:5">
      <c r="A131" s="14" t="s">
        <v>25</v>
      </c>
      <c r="B131">
        <v>6853800</v>
      </c>
      <c r="C131" s="86">
        <v>43566</v>
      </c>
      <c r="D131">
        <v>35</v>
      </c>
      <c r="E131" t="s">
        <v>253</v>
      </c>
    </row>
    <row r="132" spans="1:5">
      <c r="A132" s="14" t="s">
        <v>25</v>
      </c>
      <c r="B132">
        <v>6853800</v>
      </c>
      <c r="C132" s="86">
        <v>43567</v>
      </c>
      <c r="D132">
        <v>32.799999999999997</v>
      </c>
      <c r="E132" t="s">
        <v>253</v>
      </c>
    </row>
    <row r="133" spans="1:5">
      <c r="A133" s="14" t="s">
        <v>25</v>
      </c>
      <c r="B133">
        <v>6853800</v>
      </c>
      <c r="C133" s="86">
        <v>43568</v>
      </c>
      <c r="D133">
        <v>31.6</v>
      </c>
      <c r="E133" t="s">
        <v>253</v>
      </c>
    </row>
    <row r="134" spans="1:5">
      <c r="A134" s="14" t="s">
        <v>25</v>
      </c>
      <c r="B134">
        <v>6853800</v>
      </c>
      <c r="C134" s="86">
        <v>43569</v>
      </c>
      <c r="D134">
        <v>31.1</v>
      </c>
      <c r="E134" t="s">
        <v>253</v>
      </c>
    </row>
    <row r="135" spans="1:5">
      <c r="A135" s="14" t="s">
        <v>25</v>
      </c>
      <c r="B135">
        <v>6853800</v>
      </c>
      <c r="C135" s="86">
        <v>43570</v>
      </c>
      <c r="D135">
        <v>31.2</v>
      </c>
      <c r="E135" t="s">
        <v>253</v>
      </c>
    </row>
    <row r="136" spans="1:5">
      <c r="A136" s="14" t="s">
        <v>25</v>
      </c>
      <c r="B136">
        <v>6853800</v>
      </c>
      <c r="C136" s="86">
        <v>43571</v>
      </c>
      <c r="D136">
        <v>31.2</v>
      </c>
      <c r="E136" t="s">
        <v>253</v>
      </c>
    </row>
    <row r="137" spans="1:5">
      <c r="A137" s="14" t="s">
        <v>25</v>
      </c>
      <c r="B137">
        <v>6853800</v>
      </c>
      <c r="C137" s="86">
        <v>43572</v>
      </c>
      <c r="D137">
        <v>30.9</v>
      </c>
      <c r="E137" t="s">
        <v>253</v>
      </c>
    </row>
    <row r="138" spans="1:5">
      <c r="A138" s="14" t="s">
        <v>25</v>
      </c>
      <c r="B138">
        <v>6853800</v>
      </c>
      <c r="C138" s="86">
        <v>43573</v>
      </c>
      <c r="D138">
        <v>29.8</v>
      </c>
      <c r="E138" t="s">
        <v>253</v>
      </c>
    </row>
    <row r="139" spans="1:5">
      <c r="A139" s="14" t="s">
        <v>25</v>
      </c>
      <c r="B139">
        <v>6853800</v>
      </c>
      <c r="C139" s="86">
        <v>43574</v>
      </c>
      <c r="D139">
        <v>28.3</v>
      </c>
      <c r="E139" t="s">
        <v>253</v>
      </c>
    </row>
    <row r="140" spans="1:5">
      <c r="A140" s="14" t="s">
        <v>25</v>
      </c>
      <c r="B140">
        <v>6853800</v>
      </c>
      <c r="C140" s="86">
        <v>43575</v>
      </c>
      <c r="D140">
        <v>27.9</v>
      </c>
      <c r="E140" t="s">
        <v>253</v>
      </c>
    </row>
    <row r="141" spans="1:5">
      <c r="A141" s="14" t="s">
        <v>25</v>
      </c>
      <c r="B141">
        <v>6853800</v>
      </c>
      <c r="C141" s="86">
        <v>43576</v>
      </c>
      <c r="D141">
        <v>28.2</v>
      </c>
      <c r="E141" t="s">
        <v>253</v>
      </c>
    </row>
    <row r="142" spans="1:5">
      <c r="A142" s="14" t="s">
        <v>25</v>
      </c>
      <c r="B142">
        <v>6853800</v>
      </c>
      <c r="C142" s="86">
        <v>43577</v>
      </c>
      <c r="D142">
        <v>28</v>
      </c>
      <c r="E142" t="s">
        <v>253</v>
      </c>
    </row>
    <row r="143" spans="1:5">
      <c r="A143" s="14" t="s">
        <v>25</v>
      </c>
      <c r="B143">
        <v>6853800</v>
      </c>
      <c r="C143" s="86">
        <v>43578</v>
      </c>
      <c r="D143">
        <v>27.4</v>
      </c>
      <c r="E143" t="s">
        <v>253</v>
      </c>
    </row>
    <row r="144" spans="1:5">
      <c r="A144" s="14" t="s">
        <v>25</v>
      </c>
      <c r="B144">
        <v>6853800</v>
      </c>
      <c r="C144" s="86">
        <v>43579</v>
      </c>
      <c r="D144">
        <v>26.7</v>
      </c>
      <c r="E144" t="s">
        <v>253</v>
      </c>
    </row>
    <row r="145" spans="1:7">
      <c r="A145" s="14" t="s">
        <v>25</v>
      </c>
      <c r="B145">
        <v>6853800</v>
      </c>
      <c r="C145" s="86">
        <v>43580</v>
      </c>
      <c r="D145">
        <v>26.4</v>
      </c>
      <c r="E145" t="s">
        <v>253</v>
      </c>
    </row>
    <row r="146" spans="1:7">
      <c r="A146" s="14" t="s">
        <v>25</v>
      </c>
      <c r="B146">
        <v>6853800</v>
      </c>
      <c r="C146" s="86">
        <v>43581</v>
      </c>
      <c r="D146">
        <v>25.9</v>
      </c>
      <c r="E146" t="s">
        <v>253</v>
      </c>
    </row>
    <row r="147" spans="1:7">
      <c r="A147" s="14" t="s">
        <v>25</v>
      </c>
      <c r="B147">
        <v>6853800</v>
      </c>
      <c r="C147" s="86">
        <v>43582</v>
      </c>
      <c r="D147">
        <v>26.1</v>
      </c>
      <c r="E147" t="s">
        <v>253</v>
      </c>
    </row>
    <row r="148" spans="1:7">
      <c r="A148" s="14" t="s">
        <v>25</v>
      </c>
      <c r="B148">
        <v>6853800</v>
      </c>
      <c r="C148" s="86">
        <v>43583</v>
      </c>
      <c r="D148">
        <v>24.8</v>
      </c>
      <c r="E148" t="s">
        <v>253</v>
      </c>
    </row>
    <row r="149" spans="1:7">
      <c r="A149" s="14" t="s">
        <v>25</v>
      </c>
      <c r="B149">
        <v>6853800</v>
      </c>
      <c r="C149" s="86">
        <v>43584</v>
      </c>
      <c r="D149">
        <v>24.6</v>
      </c>
      <c r="E149" t="s">
        <v>253</v>
      </c>
    </row>
    <row r="150" spans="1:7">
      <c r="A150" s="14" t="s">
        <v>25</v>
      </c>
      <c r="B150">
        <v>6853800</v>
      </c>
      <c r="C150" s="86">
        <v>43585</v>
      </c>
      <c r="D150">
        <v>24.2</v>
      </c>
      <c r="E150" t="s">
        <v>253</v>
      </c>
      <c r="G150">
        <f>AVERAGE(D121:D150)</f>
        <v>31.65666666666667</v>
      </c>
    </row>
    <row r="151" spans="1:7">
      <c r="A151" s="14" t="s">
        <v>25</v>
      </c>
      <c r="B151">
        <v>6853800</v>
      </c>
      <c r="C151" s="86">
        <v>43586</v>
      </c>
      <c r="D151">
        <v>25.6</v>
      </c>
      <c r="E151" t="s">
        <v>253</v>
      </c>
    </row>
    <row r="152" spans="1:7">
      <c r="A152" s="14" t="s">
        <v>25</v>
      </c>
      <c r="B152">
        <v>6853800</v>
      </c>
      <c r="C152" s="86">
        <v>43587</v>
      </c>
      <c r="D152">
        <v>26</v>
      </c>
      <c r="E152" t="s">
        <v>253</v>
      </c>
    </row>
    <row r="153" spans="1:7">
      <c r="A153" s="14" t="s">
        <v>25</v>
      </c>
      <c r="B153">
        <v>6853800</v>
      </c>
      <c r="C153" s="86">
        <v>43588</v>
      </c>
      <c r="D153">
        <v>27.1</v>
      </c>
      <c r="E153" t="s">
        <v>253</v>
      </c>
    </row>
    <row r="154" spans="1:7">
      <c r="A154" s="14" t="s">
        <v>25</v>
      </c>
      <c r="B154">
        <v>6853800</v>
      </c>
      <c r="C154" s="86">
        <v>43589</v>
      </c>
      <c r="D154">
        <v>26.9</v>
      </c>
      <c r="E154" t="s">
        <v>253</v>
      </c>
    </row>
    <row r="155" spans="1:7">
      <c r="A155" s="14" t="s">
        <v>25</v>
      </c>
      <c r="B155">
        <v>6853800</v>
      </c>
      <c r="C155" s="86">
        <v>43590</v>
      </c>
      <c r="D155">
        <v>25.8</v>
      </c>
      <c r="E155" t="s">
        <v>253</v>
      </c>
    </row>
    <row r="156" spans="1:7">
      <c r="A156" s="14" t="s">
        <v>25</v>
      </c>
      <c r="B156">
        <v>6853800</v>
      </c>
      <c r="C156" s="86">
        <v>43591</v>
      </c>
      <c r="D156">
        <v>26.1</v>
      </c>
      <c r="E156" t="s">
        <v>253</v>
      </c>
    </row>
    <row r="157" spans="1:7">
      <c r="A157" s="14" t="s">
        <v>25</v>
      </c>
      <c r="B157">
        <v>6853800</v>
      </c>
      <c r="C157" s="86">
        <v>43592</v>
      </c>
      <c r="D157">
        <v>31.7</v>
      </c>
      <c r="E157" t="s">
        <v>253</v>
      </c>
    </row>
    <row r="158" spans="1:7">
      <c r="A158" s="14" t="s">
        <v>25</v>
      </c>
      <c r="B158">
        <v>6853800</v>
      </c>
      <c r="C158" s="86">
        <v>43593</v>
      </c>
      <c r="D158">
        <v>33.5</v>
      </c>
      <c r="E158" t="s">
        <v>253</v>
      </c>
    </row>
    <row r="159" spans="1:7">
      <c r="A159" s="14" t="s">
        <v>25</v>
      </c>
      <c r="B159">
        <v>6853800</v>
      </c>
      <c r="C159" s="86">
        <v>43594</v>
      </c>
      <c r="D159">
        <v>35.200000000000003</v>
      </c>
      <c r="E159" t="s">
        <v>253</v>
      </c>
    </row>
    <row r="160" spans="1:7">
      <c r="A160" s="14" t="s">
        <v>25</v>
      </c>
      <c r="B160">
        <v>6853800</v>
      </c>
      <c r="C160" s="86">
        <v>43595</v>
      </c>
      <c r="D160">
        <v>32.4</v>
      </c>
      <c r="E160" t="s">
        <v>253</v>
      </c>
    </row>
    <row r="161" spans="1:5">
      <c r="A161" s="14" t="s">
        <v>25</v>
      </c>
      <c r="B161">
        <v>6853800</v>
      </c>
      <c r="C161" s="86">
        <v>43596</v>
      </c>
      <c r="D161">
        <v>29.8</v>
      </c>
      <c r="E161" t="s">
        <v>253</v>
      </c>
    </row>
    <row r="162" spans="1:5">
      <c r="A162" s="14" t="s">
        <v>25</v>
      </c>
      <c r="B162">
        <v>6853800</v>
      </c>
      <c r="C162" s="86">
        <v>43597</v>
      </c>
      <c r="D162">
        <v>28.9</v>
      </c>
      <c r="E162" t="s">
        <v>253</v>
      </c>
    </row>
    <row r="163" spans="1:5">
      <c r="A163" s="14" t="s">
        <v>25</v>
      </c>
      <c r="B163">
        <v>6853800</v>
      </c>
      <c r="C163" s="86">
        <v>43598</v>
      </c>
      <c r="D163">
        <v>26.7</v>
      </c>
      <c r="E163" t="s">
        <v>253</v>
      </c>
    </row>
    <row r="164" spans="1:5">
      <c r="A164" s="14" t="s">
        <v>25</v>
      </c>
      <c r="B164">
        <v>6853800</v>
      </c>
      <c r="C164" s="86">
        <v>43599</v>
      </c>
      <c r="D164">
        <v>24.7</v>
      </c>
      <c r="E164" t="s">
        <v>253</v>
      </c>
    </row>
    <row r="165" spans="1:5">
      <c r="A165" s="14" t="s">
        <v>25</v>
      </c>
      <c r="B165">
        <v>6853800</v>
      </c>
      <c r="C165" s="86">
        <v>43600</v>
      </c>
      <c r="D165">
        <v>23.2</v>
      </c>
      <c r="E165" t="s">
        <v>253</v>
      </c>
    </row>
    <row r="166" spans="1:5">
      <c r="A166" s="14" t="s">
        <v>25</v>
      </c>
      <c r="B166">
        <v>6853800</v>
      </c>
      <c r="C166" s="86">
        <v>43601</v>
      </c>
      <c r="D166">
        <v>21.7</v>
      </c>
      <c r="E166" t="s">
        <v>253</v>
      </c>
    </row>
    <row r="167" spans="1:5">
      <c r="A167" s="14" t="s">
        <v>25</v>
      </c>
      <c r="B167">
        <v>6853800</v>
      </c>
      <c r="C167" s="86">
        <v>43602</v>
      </c>
      <c r="D167">
        <v>20.6</v>
      </c>
      <c r="E167" t="s">
        <v>253</v>
      </c>
    </row>
    <row r="168" spans="1:5">
      <c r="A168" s="14" t="s">
        <v>25</v>
      </c>
      <c r="B168">
        <v>6853800</v>
      </c>
      <c r="C168" s="86">
        <v>43603</v>
      </c>
      <c r="D168">
        <v>20.5</v>
      </c>
      <c r="E168" t="s">
        <v>253</v>
      </c>
    </row>
    <row r="169" spans="1:5">
      <c r="A169" s="14" t="s">
        <v>25</v>
      </c>
      <c r="B169">
        <v>6853800</v>
      </c>
      <c r="C169" s="86">
        <v>43604</v>
      </c>
      <c r="D169">
        <v>27.7</v>
      </c>
      <c r="E169" t="s">
        <v>253</v>
      </c>
    </row>
    <row r="170" spans="1:5">
      <c r="A170" s="14" t="s">
        <v>25</v>
      </c>
      <c r="B170">
        <v>6853800</v>
      </c>
      <c r="C170" s="86">
        <v>43605</v>
      </c>
      <c r="D170">
        <v>26.5</v>
      </c>
      <c r="E170" t="s">
        <v>253</v>
      </c>
    </row>
    <row r="171" spans="1:5">
      <c r="A171" s="14" t="s">
        <v>25</v>
      </c>
      <c r="B171">
        <v>6853800</v>
      </c>
      <c r="C171" s="86">
        <v>43606</v>
      </c>
      <c r="D171">
        <v>41.6</v>
      </c>
      <c r="E171" t="s">
        <v>253</v>
      </c>
    </row>
    <row r="172" spans="1:5">
      <c r="A172" s="14" t="s">
        <v>25</v>
      </c>
      <c r="B172">
        <v>6853800</v>
      </c>
      <c r="C172" s="86">
        <v>43607</v>
      </c>
      <c r="D172">
        <v>82.4</v>
      </c>
      <c r="E172" t="s">
        <v>253</v>
      </c>
    </row>
    <row r="173" spans="1:5">
      <c r="A173" s="14" t="s">
        <v>25</v>
      </c>
      <c r="B173">
        <v>6853800</v>
      </c>
      <c r="C173" s="86">
        <v>43608</v>
      </c>
      <c r="D173">
        <v>60.6</v>
      </c>
      <c r="E173" t="s">
        <v>253</v>
      </c>
    </row>
    <row r="174" spans="1:5">
      <c r="A174" s="14" t="s">
        <v>25</v>
      </c>
      <c r="B174">
        <v>6853800</v>
      </c>
      <c r="C174" s="86">
        <v>43609</v>
      </c>
      <c r="D174">
        <v>143</v>
      </c>
      <c r="E174" t="s">
        <v>253</v>
      </c>
    </row>
    <row r="175" spans="1:5">
      <c r="A175" s="14" t="s">
        <v>25</v>
      </c>
      <c r="B175">
        <v>6853800</v>
      </c>
      <c r="C175" s="86">
        <v>43610</v>
      </c>
      <c r="D175">
        <v>204</v>
      </c>
      <c r="E175" t="s">
        <v>253</v>
      </c>
    </row>
    <row r="176" spans="1:5">
      <c r="A176" s="14" t="s">
        <v>25</v>
      </c>
      <c r="B176">
        <v>6853800</v>
      </c>
      <c r="C176" s="86">
        <v>43611</v>
      </c>
      <c r="D176">
        <v>268</v>
      </c>
      <c r="E176" t="s">
        <v>253</v>
      </c>
    </row>
    <row r="177" spans="1:5">
      <c r="A177" s="14" t="s">
        <v>25</v>
      </c>
      <c r="B177">
        <v>6853800</v>
      </c>
      <c r="C177" s="86">
        <v>43612</v>
      </c>
      <c r="D177">
        <v>585</v>
      </c>
      <c r="E177" t="s">
        <v>253</v>
      </c>
    </row>
    <row r="178" spans="1:5">
      <c r="A178" s="14" t="s">
        <v>25</v>
      </c>
      <c r="B178">
        <v>6853800</v>
      </c>
      <c r="C178" s="86">
        <v>43613</v>
      </c>
      <c r="D178">
        <v>1160</v>
      </c>
      <c r="E178" t="s">
        <v>253</v>
      </c>
    </row>
    <row r="179" spans="1:5">
      <c r="A179" s="14" t="s">
        <v>25</v>
      </c>
      <c r="B179">
        <v>6853800</v>
      </c>
      <c r="C179" s="86">
        <v>43614</v>
      </c>
      <c r="D179">
        <v>652</v>
      </c>
      <c r="E179" t="s">
        <v>253</v>
      </c>
    </row>
    <row r="180" spans="1:5">
      <c r="A180" s="14" t="s">
        <v>25</v>
      </c>
      <c r="B180">
        <v>6853800</v>
      </c>
      <c r="C180" s="86">
        <v>43615</v>
      </c>
      <c r="D180">
        <v>286</v>
      </c>
      <c r="E180" t="s">
        <v>253</v>
      </c>
    </row>
    <row r="181" spans="1:5">
      <c r="A181" s="14" t="s">
        <v>25</v>
      </c>
      <c r="B181">
        <v>6853800</v>
      </c>
      <c r="C181" s="86">
        <v>43616</v>
      </c>
      <c r="D181">
        <v>137</v>
      </c>
      <c r="E181" t="s">
        <v>253</v>
      </c>
    </row>
    <row r="182" spans="1:5">
      <c r="A182" s="14" t="s">
        <v>25</v>
      </c>
      <c r="B182">
        <v>6853800</v>
      </c>
      <c r="C182" s="86">
        <v>43617</v>
      </c>
      <c r="D182">
        <v>95.1</v>
      </c>
      <c r="E182" t="s">
        <v>253</v>
      </c>
    </row>
    <row r="183" spans="1:5">
      <c r="A183" s="14" t="s">
        <v>25</v>
      </c>
      <c r="B183">
        <v>6853800</v>
      </c>
      <c r="C183" s="86">
        <v>43618</v>
      </c>
      <c r="D183">
        <v>76.3</v>
      </c>
      <c r="E183" t="s">
        <v>253</v>
      </c>
    </row>
    <row r="184" spans="1:5">
      <c r="A184" s="14" t="s">
        <v>25</v>
      </c>
      <c r="B184">
        <v>6853800</v>
      </c>
      <c r="C184" s="86">
        <v>43619</v>
      </c>
      <c r="D184">
        <v>65.599999999999994</v>
      </c>
      <c r="E184" t="s">
        <v>253</v>
      </c>
    </row>
    <row r="185" spans="1:5">
      <c r="A185" s="14" t="s">
        <v>25</v>
      </c>
      <c r="B185">
        <v>6853800</v>
      </c>
      <c r="C185" s="86">
        <v>43620</v>
      </c>
      <c r="D185">
        <v>59.8</v>
      </c>
      <c r="E185" t="s">
        <v>253</v>
      </c>
    </row>
    <row r="186" spans="1:5">
      <c r="A186" s="14" t="s">
        <v>25</v>
      </c>
      <c r="B186">
        <v>6853800</v>
      </c>
      <c r="C186" s="86">
        <v>43621</v>
      </c>
      <c r="D186">
        <v>54.5</v>
      </c>
      <c r="E186" t="s">
        <v>253</v>
      </c>
    </row>
    <row r="187" spans="1:5">
      <c r="A187" s="14" t="s">
        <v>25</v>
      </c>
      <c r="B187">
        <v>6853800</v>
      </c>
      <c r="C187" s="86">
        <v>43622</v>
      </c>
      <c r="D187">
        <v>50.4</v>
      </c>
      <c r="E187" t="s">
        <v>253</v>
      </c>
    </row>
    <row r="188" spans="1:5">
      <c r="A188" s="14" t="s">
        <v>25</v>
      </c>
      <c r="B188">
        <v>6853800</v>
      </c>
      <c r="C188" s="86">
        <v>43623</v>
      </c>
      <c r="D188">
        <v>46.7</v>
      </c>
      <c r="E188" t="s">
        <v>253</v>
      </c>
    </row>
    <row r="189" spans="1:5">
      <c r="A189" s="14" t="s">
        <v>25</v>
      </c>
      <c r="B189">
        <v>6853800</v>
      </c>
      <c r="C189" s="86">
        <v>43624</v>
      </c>
      <c r="D189">
        <v>43.3</v>
      </c>
      <c r="E189" t="s">
        <v>253</v>
      </c>
    </row>
    <row r="190" spans="1:5">
      <c r="A190" s="14" t="s">
        <v>25</v>
      </c>
      <c r="B190">
        <v>6853800</v>
      </c>
      <c r="C190" s="86">
        <v>43625</v>
      </c>
      <c r="D190">
        <v>42.7</v>
      </c>
      <c r="E190" t="s">
        <v>253</v>
      </c>
    </row>
    <row r="191" spans="1:5">
      <c r="A191" s="14" t="s">
        <v>25</v>
      </c>
      <c r="B191">
        <v>6853800</v>
      </c>
      <c r="C191" s="86">
        <v>43626</v>
      </c>
      <c r="D191">
        <v>42</v>
      </c>
      <c r="E191" t="s">
        <v>253</v>
      </c>
    </row>
    <row r="192" spans="1:5">
      <c r="A192" s="14" t="s">
        <v>25</v>
      </c>
      <c r="B192">
        <v>6853800</v>
      </c>
      <c r="C192" s="86">
        <v>43627</v>
      </c>
      <c r="D192">
        <v>45.2</v>
      </c>
      <c r="E192" t="s">
        <v>253</v>
      </c>
    </row>
    <row r="193" spans="1:5">
      <c r="A193" s="14" t="s">
        <v>25</v>
      </c>
      <c r="B193">
        <v>6853800</v>
      </c>
      <c r="C193" s="86">
        <v>43628</v>
      </c>
      <c r="D193">
        <v>43.6</v>
      </c>
      <c r="E193" t="s">
        <v>253</v>
      </c>
    </row>
    <row r="194" spans="1:5">
      <c r="A194" s="14" t="s">
        <v>25</v>
      </c>
      <c r="B194">
        <v>6853800</v>
      </c>
      <c r="C194" s="86">
        <v>43629</v>
      </c>
      <c r="D194">
        <v>38.700000000000003</v>
      </c>
      <c r="E194" t="s">
        <v>253</v>
      </c>
    </row>
    <row r="195" spans="1:5">
      <c r="A195" s="14" t="s">
        <v>25</v>
      </c>
      <c r="B195">
        <v>6853800</v>
      </c>
      <c r="C195" s="86">
        <v>43630</v>
      </c>
      <c r="D195">
        <v>37.5</v>
      </c>
      <c r="E195" t="s">
        <v>253</v>
      </c>
    </row>
    <row r="196" spans="1:5">
      <c r="A196" s="14" t="s">
        <v>25</v>
      </c>
      <c r="B196">
        <v>6853800</v>
      </c>
      <c r="C196" s="86">
        <v>43631</v>
      </c>
      <c r="D196">
        <v>36.1</v>
      </c>
      <c r="E196" t="s">
        <v>253</v>
      </c>
    </row>
    <row r="197" spans="1:5">
      <c r="A197" s="14" t="s">
        <v>25</v>
      </c>
      <c r="B197">
        <v>6853800</v>
      </c>
      <c r="C197" s="86">
        <v>43632</v>
      </c>
      <c r="D197">
        <v>33.4</v>
      </c>
      <c r="E197" t="s">
        <v>253</v>
      </c>
    </row>
    <row r="198" spans="1:5">
      <c r="A198" s="14" t="s">
        <v>25</v>
      </c>
      <c r="B198">
        <v>6853800</v>
      </c>
      <c r="C198" s="86">
        <v>43633</v>
      </c>
      <c r="D198">
        <v>31.5</v>
      </c>
      <c r="E198" t="s">
        <v>253</v>
      </c>
    </row>
    <row r="199" spans="1:5">
      <c r="A199" s="14" t="s">
        <v>25</v>
      </c>
      <c r="B199">
        <v>6853800</v>
      </c>
      <c r="C199" s="86">
        <v>43634</v>
      </c>
      <c r="D199">
        <v>31.2</v>
      </c>
      <c r="E199" t="s">
        <v>253</v>
      </c>
    </row>
    <row r="200" spans="1:5">
      <c r="A200" s="14" t="s">
        <v>25</v>
      </c>
      <c r="B200">
        <v>6853800</v>
      </c>
      <c r="C200" s="86">
        <v>43635</v>
      </c>
      <c r="D200">
        <v>34.4</v>
      </c>
      <c r="E200" t="s">
        <v>253</v>
      </c>
    </row>
    <row r="201" spans="1:5">
      <c r="A201" s="14" t="s">
        <v>25</v>
      </c>
      <c r="B201">
        <v>6853800</v>
      </c>
      <c r="C201" s="86">
        <v>43636</v>
      </c>
      <c r="D201">
        <v>35.5</v>
      </c>
      <c r="E201" t="s">
        <v>253</v>
      </c>
    </row>
    <row r="202" spans="1:5">
      <c r="A202" s="14" t="s">
        <v>25</v>
      </c>
      <c r="B202">
        <v>6853800</v>
      </c>
      <c r="C202" s="86">
        <v>43637</v>
      </c>
      <c r="D202">
        <v>333</v>
      </c>
      <c r="E202" t="s">
        <v>253</v>
      </c>
    </row>
    <row r="203" spans="1:5">
      <c r="A203" s="14" t="s">
        <v>25</v>
      </c>
      <c r="B203">
        <v>6853800</v>
      </c>
      <c r="C203" s="86">
        <v>43638</v>
      </c>
      <c r="D203">
        <v>557</v>
      </c>
      <c r="E203" t="s">
        <v>253</v>
      </c>
    </row>
    <row r="204" spans="1:5">
      <c r="A204" s="14" t="s">
        <v>25</v>
      </c>
      <c r="B204">
        <v>6853800</v>
      </c>
      <c r="C204" s="86">
        <v>43639</v>
      </c>
      <c r="D204">
        <v>241</v>
      </c>
      <c r="E204" t="s">
        <v>253</v>
      </c>
    </row>
    <row r="205" spans="1:5">
      <c r="A205" s="14" t="s">
        <v>25</v>
      </c>
      <c r="B205">
        <v>6853800</v>
      </c>
      <c r="C205" s="86">
        <v>43640</v>
      </c>
      <c r="D205">
        <v>104</v>
      </c>
      <c r="E205" t="s">
        <v>253</v>
      </c>
    </row>
    <row r="206" spans="1:5">
      <c r="A206" s="14" t="s">
        <v>25</v>
      </c>
      <c r="B206">
        <v>6853800</v>
      </c>
      <c r="C206" s="86">
        <v>43641</v>
      </c>
      <c r="D206">
        <v>73.7</v>
      </c>
      <c r="E206" t="s">
        <v>252</v>
      </c>
    </row>
    <row r="207" spans="1:5">
      <c r="A207" s="14" t="s">
        <v>25</v>
      </c>
      <c r="B207">
        <v>6853800</v>
      </c>
      <c r="C207" s="86">
        <v>43642</v>
      </c>
      <c r="D207">
        <v>219</v>
      </c>
      <c r="E207" t="s">
        <v>253</v>
      </c>
    </row>
    <row r="208" spans="1:5">
      <c r="A208" s="14" t="s">
        <v>25</v>
      </c>
      <c r="B208">
        <v>6853800</v>
      </c>
      <c r="C208" s="86">
        <v>43643</v>
      </c>
      <c r="D208">
        <v>75.5</v>
      </c>
      <c r="E208" t="s">
        <v>253</v>
      </c>
    </row>
    <row r="209" spans="1:5">
      <c r="A209" s="14" t="s">
        <v>25</v>
      </c>
      <c r="B209">
        <v>6853800</v>
      </c>
      <c r="C209" s="86">
        <v>43644</v>
      </c>
      <c r="D209">
        <v>43.6</v>
      </c>
      <c r="E209" t="s">
        <v>253</v>
      </c>
    </row>
    <row r="210" spans="1:5">
      <c r="A210" s="14" t="s">
        <v>25</v>
      </c>
      <c r="B210">
        <v>6853800</v>
      </c>
      <c r="C210" s="86">
        <v>43645</v>
      </c>
      <c r="D210">
        <v>36.1</v>
      </c>
      <c r="E210" t="s">
        <v>253</v>
      </c>
    </row>
    <row r="211" spans="1:5">
      <c r="A211" s="14" t="s">
        <v>25</v>
      </c>
      <c r="B211">
        <v>6853800</v>
      </c>
      <c r="C211" s="86">
        <v>43646</v>
      </c>
      <c r="D211">
        <v>32.1</v>
      </c>
      <c r="E211" t="s">
        <v>253</v>
      </c>
    </row>
    <row r="212" spans="1:5">
      <c r="A212" s="14" t="s">
        <v>25</v>
      </c>
      <c r="B212">
        <v>6853800</v>
      </c>
      <c r="C212" s="86">
        <v>43647</v>
      </c>
      <c r="D212">
        <v>29.8</v>
      </c>
      <c r="E212" t="s">
        <v>252</v>
      </c>
    </row>
    <row r="213" spans="1:5">
      <c r="A213" s="14" t="s">
        <v>25</v>
      </c>
      <c r="B213">
        <v>6853800</v>
      </c>
      <c r="C213" s="86">
        <v>43648</v>
      </c>
      <c r="D213">
        <v>28.4</v>
      </c>
      <c r="E213" t="s">
        <v>252</v>
      </c>
    </row>
    <row r="214" spans="1:5">
      <c r="A214" s="14" t="s">
        <v>25</v>
      </c>
      <c r="B214">
        <v>6853800</v>
      </c>
      <c r="C214" s="86">
        <v>43649</v>
      </c>
      <c r="D214">
        <v>27.6</v>
      </c>
      <c r="E214" t="s">
        <v>252</v>
      </c>
    </row>
    <row r="215" spans="1:5">
      <c r="A215" s="14" t="s">
        <v>25</v>
      </c>
      <c r="B215">
        <v>6853800</v>
      </c>
      <c r="C215" s="86">
        <v>43650</v>
      </c>
      <c r="D215">
        <v>28</v>
      </c>
      <c r="E215" t="s">
        <v>252</v>
      </c>
    </row>
    <row r="216" spans="1:5">
      <c r="A216" s="14" t="s">
        <v>25</v>
      </c>
      <c r="B216">
        <v>6853800</v>
      </c>
      <c r="C216" s="86">
        <v>43651</v>
      </c>
      <c r="D216">
        <v>133</v>
      </c>
      <c r="E216" t="s">
        <v>252</v>
      </c>
    </row>
    <row r="217" spans="1:5">
      <c r="A217" s="14" t="s">
        <v>25</v>
      </c>
      <c r="B217">
        <v>6853800</v>
      </c>
      <c r="C217" s="86">
        <v>43652</v>
      </c>
      <c r="D217">
        <v>123</v>
      </c>
      <c r="E217" t="s">
        <v>253</v>
      </c>
    </row>
    <row r="218" spans="1:5">
      <c r="A218" s="14" t="s">
        <v>25</v>
      </c>
      <c r="B218">
        <v>6853800</v>
      </c>
      <c r="C218" s="86">
        <v>43653</v>
      </c>
      <c r="D218">
        <v>88.5</v>
      </c>
      <c r="E218" t="s">
        <v>252</v>
      </c>
    </row>
    <row r="219" spans="1:5">
      <c r="A219" s="14" t="s">
        <v>25</v>
      </c>
      <c r="B219">
        <v>6853800</v>
      </c>
      <c r="C219" s="86">
        <v>43654</v>
      </c>
      <c r="D219">
        <v>57.1</v>
      </c>
      <c r="E219" t="s">
        <v>252</v>
      </c>
    </row>
    <row r="220" spans="1:5">
      <c r="A220" s="14" t="s">
        <v>25</v>
      </c>
      <c r="B220">
        <v>6853800</v>
      </c>
      <c r="C220" s="86">
        <v>43655</v>
      </c>
      <c r="D220">
        <v>1520</v>
      </c>
      <c r="E220" t="s">
        <v>253</v>
      </c>
    </row>
    <row r="221" spans="1:5">
      <c r="A221" s="14" t="s">
        <v>25</v>
      </c>
      <c r="B221">
        <v>6853800</v>
      </c>
      <c r="C221" s="86">
        <v>43656</v>
      </c>
      <c r="D221">
        <v>1300</v>
      </c>
      <c r="E221" t="s">
        <v>253</v>
      </c>
    </row>
    <row r="222" spans="1:5">
      <c r="A222" s="14" t="s">
        <v>25</v>
      </c>
      <c r="B222">
        <v>6853800</v>
      </c>
      <c r="C222" s="86">
        <v>43657</v>
      </c>
      <c r="D222">
        <v>508</v>
      </c>
      <c r="E222" t="s">
        <v>253</v>
      </c>
    </row>
    <row r="223" spans="1:5">
      <c r="A223" s="14" t="s">
        <v>25</v>
      </c>
      <c r="B223">
        <v>6853800</v>
      </c>
      <c r="C223" s="86">
        <v>43658</v>
      </c>
      <c r="D223">
        <v>235</v>
      </c>
      <c r="E223" t="s">
        <v>253</v>
      </c>
    </row>
    <row r="224" spans="1:5">
      <c r="A224" s="14" t="s">
        <v>25</v>
      </c>
      <c r="B224">
        <v>6853800</v>
      </c>
      <c r="C224" s="86">
        <v>43659</v>
      </c>
      <c r="D224">
        <v>127</v>
      </c>
      <c r="E224" t="s">
        <v>253</v>
      </c>
    </row>
    <row r="225" spans="1:5">
      <c r="A225" s="14" t="s">
        <v>25</v>
      </c>
      <c r="B225">
        <v>6853800</v>
      </c>
      <c r="C225" s="86">
        <v>43660</v>
      </c>
      <c r="D225">
        <v>88</v>
      </c>
      <c r="E225" t="s">
        <v>253</v>
      </c>
    </row>
    <row r="226" spans="1:5">
      <c r="A226" s="14" t="s">
        <v>25</v>
      </c>
      <c r="B226">
        <v>6853800</v>
      </c>
      <c r="C226" s="86">
        <v>43661</v>
      </c>
      <c r="D226">
        <v>68.7</v>
      </c>
      <c r="E226" t="s">
        <v>253</v>
      </c>
    </row>
    <row r="227" spans="1:5">
      <c r="A227" s="14" t="s">
        <v>25</v>
      </c>
      <c r="B227">
        <v>6853800</v>
      </c>
      <c r="C227" s="86">
        <v>43662</v>
      </c>
      <c r="D227">
        <v>59.1</v>
      </c>
      <c r="E227" t="s">
        <v>253</v>
      </c>
    </row>
    <row r="228" spans="1:5">
      <c r="A228" s="14" t="s">
        <v>25</v>
      </c>
      <c r="B228">
        <v>6853800</v>
      </c>
      <c r="C228" s="86">
        <v>43663</v>
      </c>
      <c r="D228">
        <v>52</v>
      </c>
      <c r="E228" t="s">
        <v>253</v>
      </c>
    </row>
    <row r="229" spans="1:5">
      <c r="A229" s="14" t="s">
        <v>25</v>
      </c>
      <c r="B229">
        <v>6853800</v>
      </c>
      <c r="C229" s="86">
        <v>43664</v>
      </c>
      <c r="D229">
        <v>44.6</v>
      </c>
      <c r="E229" t="s">
        <v>253</v>
      </c>
    </row>
    <row r="230" spans="1:5">
      <c r="A230" s="14" t="s">
        <v>25</v>
      </c>
      <c r="B230">
        <v>6853800</v>
      </c>
      <c r="C230" s="86">
        <v>43665</v>
      </c>
      <c r="D230">
        <v>38.700000000000003</v>
      </c>
      <c r="E230" t="s">
        <v>253</v>
      </c>
    </row>
    <row r="231" spans="1:5">
      <c r="A231" s="14" t="s">
        <v>25</v>
      </c>
      <c r="B231">
        <v>6853800</v>
      </c>
      <c r="C231" s="86">
        <v>43666</v>
      </c>
      <c r="D231">
        <v>33.4</v>
      </c>
      <c r="E231" t="s">
        <v>253</v>
      </c>
    </row>
    <row r="232" spans="1:5">
      <c r="A232" s="14" t="s">
        <v>25</v>
      </c>
      <c r="B232">
        <v>6853800</v>
      </c>
      <c r="C232" s="86">
        <v>43667</v>
      </c>
      <c r="D232">
        <v>31</v>
      </c>
      <c r="E232" t="s">
        <v>253</v>
      </c>
    </row>
    <row r="233" spans="1:5">
      <c r="A233" s="14" t="s">
        <v>25</v>
      </c>
      <c r="B233">
        <v>6853800</v>
      </c>
      <c r="C233" s="86">
        <v>43668</v>
      </c>
      <c r="D233">
        <v>30.5</v>
      </c>
      <c r="E233" t="s">
        <v>253</v>
      </c>
    </row>
    <row r="234" spans="1:5">
      <c r="A234" s="14" t="s">
        <v>25</v>
      </c>
      <c r="B234">
        <v>6853800</v>
      </c>
      <c r="C234" s="86">
        <v>43669</v>
      </c>
      <c r="D234">
        <v>30</v>
      </c>
      <c r="E234" t="s">
        <v>253</v>
      </c>
    </row>
    <row r="235" spans="1:5">
      <c r="A235" s="14" t="s">
        <v>25</v>
      </c>
      <c r="B235">
        <v>6853800</v>
      </c>
      <c r="C235" s="86">
        <v>43670</v>
      </c>
      <c r="D235">
        <v>28.2</v>
      </c>
      <c r="E235" t="s">
        <v>253</v>
      </c>
    </row>
    <row r="236" spans="1:5">
      <c r="A236" s="14" t="s">
        <v>25</v>
      </c>
      <c r="B236">
        <v>6853800</v>
      </c>
      <c r="C236" s="86">
        <v>43671</v>
      </c>
      <c r="D236">
        <v>26.3</v>
      </c>
      <c r="E236" t="s">
        <v>253</v>
      </c>
    </row>
    <row r="237" spans="1:5">
      <c r="A237" s="14" t="s">
        <v>25</v>
      </c>
      <c r="B237">
        <v>6853800</v>
      </c>
      <c r="C237" s="86">
        <v>43672</v>
      </c>
      <c r="D237">
        <v>24.6</v>
      </c>
      <c r="E237" t="s">
        <v>253</v>
      </c>
    </row>
    <row r="238" spans="1:5">
      <c r="A238" s="14" t="s">
        <v>25</v>
      </c>
      <c r="B238">
        <v>6853800</v>
      </c>
      <c r="C238" s="86">
        <v>43673</v>
      </c>
      <c r="D238">
        <v>22.7</v>
      </c>
      <c r="E238" t="s">
        <v>253</v>
      </c>
    </row>
    <row r="239" spans="1:5">
      <c r="A239" s="14" t="s">
        <v>25</v>
      </c>
      <c r="B239">
        <v>6853800</v>
      </c>
      <c r="C239" s="86">
        <v>43674</v>
      </c>
      <c r="D239">
        <v>21.2</v>
      </c>
      <c r="E239" t="s">
        <v>253</v>
      </c>
    </row>
    <row r="240" spans="1:5">
      <c r="A240" s="14" t="s">
        <v>25</v>
      </c>
      <c r="B240">
        <v>6853800</v>
      </c>
      <c r="C240" s="86">
        <v>43675</v>
      </c>
      <c r="D240">
        <v>20</v>
      </c>
      <c r="E240" t="s">
        <v>253</v>
      </c>
    </row>
    <row r="241" spans="1:5">
      <c r="A241" s="14" t="s">
        <v>25</v>
      </c>
      <c r="B241">
        <v>6853800</v>
      </c>
      <c r="C241" s="86">
        <v>43676</v>
      </c>
      <c r="D241">
        <v>18.8</v>
      </c>
      <c r="E241" t="s">
        <v>253</v>
      </c>
    </row>
    <row r="242" spans="1:5">
      <c r="A242" s="14" t="s">
        <v>25</v>
      </c>
      <c r="B242">
        <v>6853800</v>
      </c>
      <c r="C242" s="86">
        <v>43677</v>
      </c>
      <c r="D242">
        <v>17.7</v>
      </c>
      <c r="E242" t="s">
        <v>253</v>
      </c>
    </row>
    <row r="243" spans="1:5">
      <c r="A243" s="14" t="s">
        <v>25</v>
      </c>
      <c r="B243">
        <v>6853800</v>
      </c>
      <c r="C243" s="86">
        <v>43678</v>
      </c>
      <c r="D243">
        <v>16.8</v>
      </c>
      <c r="E243" t="s">
        <v>253</v>
      </c>
    </row>
    <row r="244" spans="1:5">
      <c r="A244" s="14" t="s">
        <v>25</v>
      </c>
      <c r="B244">
        <v>6853800</v>
      </c>
      <c r="C244" s="86">
        <v>43679</v>
      </c>
      <c r="D244">
        <v>197</v>
      </c>
      <c r="E244" t="s">
        <v>253</v>
      </c>
    </row>
    <row r="245" spans="1:5">
      <c r="A245" s="14" t="s">
        <v>25</v>
      </c>
      <c r="B245">
        <v>6853800</v>
      </c>
      <c r="C245" s="86">
        <v>43680</v>
      </c>
      <c r="D245">
        <v>118</v>
      </c>
      <c r="E245" t="s">
        <v>253</v>
      </c>
    </row>
    <row r="246" spans="1:5">
      <c r="A246" s="14" t="s">
        <v>25</v>
      </c>
      <c r="B246">
        <v>6853800</v>
      </c>
      <c r="C246" s="86">
        <v>43681</v>
      </c>
      <c r="D246">
        <v>37.1</v>
      </c>
      <c r="E246" t="s">
        <v>253</v>
      </c>
    </row>
    <row r="247" spans="1:5">
      <c r="A247" s="14" t="s">
        <v>25</v>
      </c>
      <c r="B247">
        <v>6853800</v>
      </c>
      <c r="C247" s="86">
        <v>43682</v>
      </c>
      <c r="D247">
        <v>26.7</v>
      </c>
      <c r="E247" t="s">
        <v>253</v>
      </c>
    </row>
    <row r="248" spans="1:5">
      <c r="A248" s="14" t="s">
        <v>25</v>
      </c>
      <c r="B248">
        <v>6853800</v>
      </c>
      <c r="C248" s="86">
        <v>43683</v>
      </c>
      <c r="D248">
        <v>24.2</v>
      </c>
      <c r="E248" t="s">
        <v>253</v>
      </c>
    </row>
    <row r="249" spans="1:5">
      <c r="A249" s="14" t="s">
        <v>25</v>
      </c>
      <c r="B249">
        <v>6853800</v>
      </c>
      <c r="C249" s="86">
        <v>43684</v>
      </c>
      <c r="D249">
        <v>21.4</v>
      </c>
      <c r="E249" t="s">
        <v>253</v>
      </c>
    </row>
    <row r="250" spans="1:5">
      <c r="A250" s="14" t="s">
        <v>25</v>
      </c>
      <c r="B250">
        <v>6853800</v>
      </c>
      <c r="C250" s="86">
        <v>43685</v>
      </c>
      <c r="D250">
        <v>20.8</v>
      </c>
      <c r="E250" t="s">
        <v>253</v>
      </c>
    </row>
    <row r="251" spans="1:5">
      <c r="A251" s="14" t="s">
        <v>25</v>
      </c>
      <c r="B251">
        <v>6853800</v>
      </c>
      <c r="C251" s="86">
        <v>43686</v>
      </c>
      <c r="D251">
        <v>20.399999999999999</v>
      </c>
      <c r="E251" t="s">
        <v>253</v>
      </c>
    </row>
    <row r="252" spans="1:5">
      <c r="A252" s="14" t="s">
        <v>25</v>
      </c>
      <c r="B252">
        <v>6853800</v>
      </c>
      <c r="C252" s="86">
        <v>43687</v>
      </c>
      <c r="D252">
        <v>19.100000000000001</v>
      </c>
      <c r="E252" t="s">
        <v>253</v>
      </c>
    </row>
    <row r="253" spans="1:5">
      <c r="A253" s="14" t="s">
        <v>25</v>
      </c>
      <c r="B253">
        <v>6853800</v>
      </c>
      <c r="C253" s="86">
        <v>43688</v>
      </c>
      <c r="D253">
        <v>20.2</v>
      </c>
      <c r="E253" t="s">
        <v>253</v>
      </c>
    </row>
    <row r="254" spans="1:5">
      <c r="A254" s="14" t="s">
        <v>25</v>
      </c>
      <c r="B254">
        <v>6853800</v>
      </c>
      <c r="C254" s="86">
        <v>43689</v>
      </c>
      <c r="D254">
        <v>230</v>
      </c>
      <c r="E254" t="s">
        <v>253</v>
      </c>
    </row>
    <row r="255" spans="1:5">
      <c r="A255" s="14" t="s">
        <v>25</v>
      </c>
      <c r="B255">
        <v>6853800</v>
      </c>
      <c r="C255" s="86">
        <v>43690</v>
      </c>
      <c r="D255">
        <v>154</v>
      </c>
      <c r="E255" t="s">
        <v>253</v>
      </c>
    </row>
    <row r="256" spans="1:5">
      <c r="A256" s="14" t="s">
        <v>25</v>
      </c>
      <c r="B256">
        <v>6853800</v>
      </c>
      <c r="C256" s="86">
        <v>43691</v>
      </c>
      <c r="D256">
        <v>54</v>
      </c>
      <c r="E256" t="s">
        <v>253</v>
      </c>
    </row>
    <row r="257" spans="1:5">
      <c r="A257" s="14" t="s">
        <v>25</v>
      </c>
      <c r="B257">
        <v>6853800</v>
      </c>
      <c r="C257" s="86">
        <v>43692</v>
      </c>
      <c r="D257">
        <v>31.9</v>
      </c>
      <c r="E257" t="s">
        <v>253</v>
      </c>
    </row>
    <row r="258" spans="1:5">
      <c r="A258" s="14" t="s">
        <v>25</v>
      </c>
      <c r="B258">
        <v>6853800</v>
      </c>
      <c r="C258" s="86">
        <v>43693</v>
      </c>
      <c r="D258">
        <v>26.5</v>
      </c>
      <c r="E258" t="s">
        <v>253</v>
      </c>
    </row>
    <row r="259" spans="1:5">
      <c r="A259" s="14" t="s">
        <v>25</v>
      </c>
      <c r="B259">
        <v>6853800</v>
      </c>
      <c r="C259" s="86">
        <v>43694</v>
      </c>
      <c r="D259">
        <v>24.4</v>
      </c>
      <c r="E259" t="s">
        <v>253</v>
      </c>
    </row>
    <row r="260" spans="1:5">
      <c r="A260" s="14" t="s">
        <v>25</v>
      </c>
      <c r="B260">
        <v>6853800</v>
      </c>
      <c r="C260" s="86">
        <v>43695</v>
      </c>
      <c r="D260">
        <v>22</v>
      </c>
      <c r="E260" t="s">
        <v>253</v>
      </c>
    </row>
    <row r="261" spans="1:5">
      <c r="A261" s="14" t="s">
        <v>25</v>
      </c>
      <c r="B261">
        <v>6853800</v>
      </c>
      <c r="C261" s="86">
        <v>43696</v>
      </c>
      <c r="D261">
        <v>20.2</v>
      </c>
      <c r="E261" t="s">
        <v>253</v>
      </c>
    </row>
    <row r="262" spans="1:5">
      <c r="A262" s="14" t="s">
        <v>25</v>
      </c>
      <c r="B262">
        <v>6853800</v>
      </c>
      <c r="C262" s="86">
        <v>43697</v>
      </c>
      <c r="D262">
        <v>18.8</v>
      </c>
      <c r="E262" t="s">
        <v>253</v>
      </c>
    </row>
    <row r="263" spans="1:5">
      <c r="A263" s="14" t="s">
        <v>25</v>
      </c>
      <c r="B263">
        <v>6853800</v>
      </c>
      <c r="C263" s="86">
        <v>43698</v>
      </c>
      <c r="D263">
        <v>18</v>
      </c>
      <c r="E263" t="s">
        <v>253</v>
      </c>
    </row>
    <row r="264" spans="1:5">
      <c r="A264" s="14" t="s">
        <v>25</v>
      </c>
      <c r="B264">
        <v>6853800</v>
      </c>
      <c r="C264" s="86">
        <v>43699</v>
      </c>
      <c r="D264">
        <v>19.899999999999999</v>
      </c>
      <c r="E264" t="s">
        <v>253</v>
      </c>
    </row>
    <row r="265" spans="1:5">
      <c r="A265" s="14" t="s">
        <v>25</v>
      </c>
      <c r="B265">
        <v>6853800</v>
      </c>
      <c r="C265" s="86">
        <v>43700</v>
      </c>
      <c r="D265">
        <v>20.5</v>
      </c>
      <c r="E265" t="s">
        <v>253</v>
      </c>
    </row>
    <row r="266" spans="1:5">
      <c r="A266" s="14" t="s">
        <v>25</v>
      </c>
      <c r="B266">
        <v>6853800</v>
      </c>
      <c r="C266" s="86">
        <v>43701</v>
      </c>
      <c r="D266">
        <v>75.8</v>
      </c>
      <c r="E266" t="s">
        <v>253</v>
      </c>
    </row>
    <row r="267" spans="1:5">
      <c r="A267" s="14" t="s">
        <v>25</v>
      </c>
      <c r="B267">
        <v>6853800</v>
      </c>
      <c r="C267" s="86">
        <v>43702</v>
      </c>
      <c r="D267">
        <v>558</v>
      </c>
      <c r="E267" t="s">
        <v>253</v>
      </c>
    </row>
    <row r="268" spans="1:5">
      <c r="A268" s="14" t="s">
        <v>25</v>
      </c>
      <c r="B268">
        <v>6853800</v>
      </c>
      <c r="C268" s="86">
        <v>43703</v>
      </c>
      <c r="D268">
        <v>427</v>
      </c>
      <c r="E268" t="s">
        <v>253</v>
      </c>
    </row>
    <row r="269" spans="1:5">
      <c r="A269" s="14" t="s">
        <v>25</v>
      </c>
      <c r="B269">
        <v>6853800</v>
      </c>
      <c r="C269" s="86">
        <v>43704</v>
      </c>
      <c r="D269">
        <v>146</v>
      </c>
      <c r="E269" t="s">
        <v>253</v>
      </c>
    </row>
    <row r="270" spans="1:5">
      <c r="A270" s="14" t="s">
        <v>25</v>
      </c>
      <c r="B270">
        <v>6853800</v>
      </c>
      <c r="C270" s="86">
        <v>43705</v>
      </c>
      <c r="D270">
        <v>64.5</v>
      </c>
      <c r="E270" t="s">
        <v>253</v>
      </c>
    </row>
    <row r="271" spans="1:5">
      <c r="A271" s="14" t="s">
        <v>25</v>
      </c>
      <c r="B271">
        <v>6853800</v>
      </c>
      <c r="C271" s="86">
        <v>43706</v>
      </c>
      <c r="D271">
        <v>113</v>
      </c>
      <c r="E271" t="s">
        <v>253</v>
      </c>
    </row>
    <row r="272" spans="1:5">
      <c r="A272" s="14" t="s">
        <v>25</v>
      </c>
      <c r="B272">
        <v>6853800</v>
      </c>
      <c r="C272" s="86">
        <v>43707</v>
      </c>
      <c r="D272">
        <v>993</v>
      </c>
      <c r="E272" t="s">
        <v>253</v>
      </c>
    </row>
    <row r="273" spans="1:5">
      <c r="A273" s="14" t="s">
        <v>25</v>
      </c>
      <c r="B273">
        <v>6853800</v>
      </c>
      <c r="C273" s="86">
        <v>43708</v>
      </c>
      <c r="D273">
        <v>352</v>
      </c>
      <c r="E273" t="s">
        <v>253</v>
      </c>
    </row>
    <row r="274" spans="1:5">
      <c r="A274" s="14" t="s">
        <v>25</v>
      </c>
      <c r="B274">
        <v>6853800</v>
      </c>
      <c r="C274" s="86">
        <v>43709</v>
      </c>
      <c r="D274">
        <v>106</v>
      </c>
      <c r="E274" t="s">
        <v>253</v>
      </c>
    </row>
    <row r="275" spans="1:5">
      <c r="A275" s="14" t="s">
        <v>25</v>
      </c>
      <c r="B275">
        <v>6853800</v>
      </c>
      <c r="C275" s="86">
        <v>43710</v>
      </c>
      <c r="D275">
        <v>57.1</v>
      </c>
      <c r="E275" t="s">
        <v>253</v>
      </c>
    </row>
    <row r="276" spans="1:5">
      <c r="A276" s="14" t="s">
        <v>25</v>
      </c>
      <c r="B276">
        <v>6853800</v>
      </c>
      <c r="C276" s="86">
        <v>43711</v>
      </c>
      <c r="D276">
        <v>41.7</v>
      </c>
      <c r="E276" t="s">
        <v>253</v>
      </c>
    </row>
    <row r="277" spans="1:5">
      <c r="A277" s="14" t="s">
        <v>25</v>
      </c>
      <c r="B277">
        <v>6853800</v>
      </c>
      <c r="C277" s="86">
        <v>43712</v>
      </c>
      <c r="D277">
        <v>33.700000000000003</v>
      </c>
      <c r="E277" t="s">
        <v>253</v>
      </c>
    </row>
    <row r="278" spans="1:5">
      <c r="A278" s="14" t="s">
        <v>25</v>
      </c>
      <c r="B278">
        <v>6853800</v>
      </c>
      <c r="C278" s="86">
        <v>43713</v>
      </c>
      <c r="D278">
        <v>29.1</v>
      </c>
      <c r="E278" t="s">
        <v>253</v>
      </c>
    </row>
    <row r="279" spans="1:5">
      <c r="A279" s="14" t="s">
        <v>25</v>
      </c>
      <c r="B279">
        <v>6853800</v>
      </c>
      <c r="C279" s="86">
        <v>43714</v>
      </c>
      <c r="D279">
        <v>25.6</v>
      </c>
      <c r="E279" t="s">
        <v>253</v>
      </c>
    </row>
    <row r="280" spans="1:5">
      <c r="A280" s="14" t="s">
        <v>25</v>
      </c>
      <c r="B280">
        <v>6853800</v>
      </c>
      <c r="C280" s="86">
        <v>43715</v>
      </c>
      <c r="D280">
        <v>23.7</v>
      </c>
      <c r="E280" t="s">
        <v>253</v>
      </c>
    </row>
    <row r="281" spans="1:5">
      <c r="A281" s="14" t="s">
        <v>25</v>
      </c>
      <c r="B281">
        <v>6853800</v>
      </c>
      <c r="C281" s="86">
        <v>43716</v>
      </c>
      <c r="D281">
        <v>23.3</v>
      </c>
      <c r="E281" t="s">
        <v>253</v>
      </c>
    </row>
    <row r="282" spans="1:5">
      <c r="A282" s="14" t="s">
        <v>25</v>
      </c>
      <c r="B282">
        <v>6853800</v>
      </c>
      <c r="C282" s="86">
        <v>43717</v>
      </c>
      <c r="D282">
        <v>24.9</v>
      </c>
      <c r="E282" t="s">
        <v>253</v>
      </c>
    </row>
    <row r="283" spans="1:5">
      <c r="A283" s="14" t="s">
        <v>25</v>
      </c>
      <c r="B283">
        <v>6853800</v>
      </c>
      <c r="C283" s="86">
        <v>43718</v>
      </c>
      <c r="D283">
        <v>26.3</v>
      </c>
      <c r="E283" t="s">
        <v>253</v>
      </c>
    </row>
    <row r="284" spans="1:5">
      <c r="A284" s="14" t="s">
        <v>25</v>
      </c>
      <c r="B284">
        <v>6853800</v>
      </c>
      <c r="C284" s="86">
        <v>43719</v>
      </c>
      <c r="D284">
        <v>24.7</v>
      </c>
      <c r="E284" t="s">
        <v>253</v>
      </c>
    </row>
    <row r="285" spans="1:5">
      <c r="A285" s="14" t="s">
        <v>25</v>
      </c>
      <c r="B285">
        <v>6853800</v>
      </c>
      <c r="C285" s="86">
        <v>43720</v>
      </c>
      <c r="D285">
        <v>22.3</v>
      </c>
      <c r="E285" t="s">
        <v>253</v>
      </c>
    </row>
    <row r="286" spans="1:5">
      <c r="A286" s="14" t="s">
        <v>25</v>
      </c>
      <c r="B286">
        <v>6853800</v>
      </c>
      <c r="C286" s="86">
        <v>43721</v>
      </c>
      <c r="D286">
        <v>20.399999999999999</v>
      </c>
      <c r="E286" t="s">
        <v>253</v>
      </c>
    </row>
    <row r="287" spans="1:5">
      <c r="A287" s="14" t="s">
        <v>25</v>
      </c>
      <c r="B287">
        <v>6853800</v>
      </c>
      <c r="C287" s="86">
        <v>43722</v>
      </c>
      <c r="D287">
        <v>19.100000000000001</v>
      </c>
      <c r="E287" t="s">
        <v>253</v>
      </c>
    </row>
    <row r="288" spans="1:5">
      <c r="A288" s="14" t="s">
        <v>25</v>
      </c>
      <c r="B288">
        <v>6853800</v>
      </c>
      <c r="C288" s="86">
        <v>43723</v>
      </c>
      <c r="D288">
        <v>18.2</v>
      </c>
      <c r="E288" t="s">
        <v>253</v>
      </c>
    </row>
    <row r="289" spans="1:5">
      <c r="A289" s="14" t="s">
        <v>25</v>
      </c>
      <c r="B289">
        <v>6853800</v>
      </c>
      <c r="C289" s="86">
        <v>43724</v>
      </c>
      <c r="D289">
        <v>17.399999999999999</v>
      </c>
      <c r="E289" t="s">
        <v>253</v>
      </c>
    </row>
    <row r="290" spans="1:5">
      <c r="A290" s="14" t="s">
        <v>25</v>
      </c>
      <c r="B290">
        <v>6853800</v>
      </c>
      <c r="C290" s="86">
        <v>43725</v>
      </c>
      <c r="D290">
        <v>16.3</v>
      </c>
      <c r="E290" t="s">
        <v>253</v>
      </c>
    </row>
    <row r="291" spans="1:5">
      <c r="A291" s="14" t="s">
        <v>25</v>
      </c>
      <c r="B291">
        <v>6853800</v>
      </c>
      <c r="C291" s="86">
        <v>43726</v>
      </c>
      <c r="D291">
        <v>15.4</v>
      </c>
      <c r="E291" t="s">
        <v>253</v>
      </c>
    </row>
    <row r="292" spans="1:5">
      <c r="A292" s="14" t="s">
        <v>25</v>
      </c>
      <c r="B292">
        <v>6853800</v>
      </c>
      <c r="C292" s="86">
        <v>43727</v>
      </c>
      <c r="D292">
        <v>14.9</v>
      </c>
      <c r="E292" t="s">
        <v>253</v>
      </c>
    </row>
    <row r="293" spans="1:5">
      <c r="A293" s="14" t="s">
        <v>25</v>
      </c>
      <c r="B293">
        <v>6853800</v>
      </c>
      <c r="C293" s="86">
        <v>43728</v>
      </c>
      <c r="D293">
        <v>14.3</v>
      </c>
      <c r="E293" t="s">
        <v>253</v>
      </c>
    </row>
    <row r="294" spans="1:5">
      <c r="A294" s="14" t="s">
        <v>25</v>
      </c>
      <c r="B294">
        <v>6853800</v>
      </c>
      <c r="C294" s="86">
        <v>43729</v>
      </c>
      <c r="D294">
        <v>14.4</v>
      </c>
      <c r="E294" t="s">
        <v>253</v>
      </c>
    </row>
    <row r="295" spans="1:5">
      <c r="A295" s="14" t="s">
        <v>25</v>
      </c>
      <c r="B295">
        <v>6853800</v>
      </c>
      <c r="C295" s="86">
        <v>43730</v>
      </c>
      <c r="D295">
        <v>21.9</v>
      </c>
      <c r="E295" t="s">
        <v>253</v>
      </c>
    </row>
    <row r="296" spans="1:5">
      <c r="A296" s="14" t="s">
        <v>25</v>
      </c>
      <c r="B296">
        <v>6853800</v>
      </c>
      <c r="C296" s="86">
        <v>43731</v>
      </c>
      <c r="D296">
        <v>18.899999999999999</v>
      </c>
      <c r="E296" t="s">
        <v>253</v>
      </c>
    </row>
    <row r="297" spans="1:5">
      <c r="A297" s="14" t="s">
        <v>25</v>
      </c>
      <c r="B297">
        <v>6853800</v>
      </c>
      <c r="C297" s="86">
        <v>43732</v>
      </c>
      <c r="D297">
        <v>36.9</v>
      </c>
      <c r="E297" t="s">
        <v>253</v>
      </c>
    </row>
    <row r="298" spans="1:5">
      <c r="A298" s="14" t="s">
        <v>25</v>
      </c>
      <c r="B298">
        <v>6853800</v>
      </c>
      <c r="C298" s="86">
        <v>43733</v>
      </c>
      <c r="D298">
        <v>38.1</v>
      </c>
      <c r="E298" t="s">
        <v>253</v>
      </c>
    </row>
    <row r="299" spans="1:5">
      <c r="A299" s="14" t="s">
        <v>25</v>
      </c>
      <c r="B299">
        <v>6853800</v>
      </c>
      <c r="C299" s="86">
        <v>43734</v>
      </c>
      <c r="D299">
        <v>23.9</v>
      </c>
      <c r="E299" t="s">
        <v>253</v>
      </c>
    </row>
    <row r="300" spans="1:5">
      <c r="A300" s="14" t="s">
        <v>25</v>
      </c>
      <c r="B300">
        <v>6853800</v>
      </c>
      <c r="C300" s="86">
        <v>43735</v>
      </c>
      <c r="D300">
        <v>19.100000000000001</v>
      </c>
      <c r="E300" t="s">
        <v>253</v>
      </c>
    </row>
    <row r="301" spans="1:5">
      <c r="A301" s="14" t="s">
        <v>25</v>
      </c>
      <c r="B301">
        <v>6853800</v>
      </c>
      <c r="C301" s="86">
        <v>43736</v>
      </c>
      <c r="D301">
        <v>17</v>
      </c>
      <c r="E301" t="s">
        <v>253</v>
      </c>
    </row>
    <row r="302" spans="1:5">
      <c r="A302" s="14" t="s">
        <v>25</v>
      </c>
      <c r="B302">
        <v>6853800</v>
      </c>
      <c r="C302" s="86">
        <v>43737</v>
      </c>
      <c r="D302">
        <v>17</v>
      </c>
      <c r="E302" t="s">
        <v>253</v>
      </c>
    </row>
    <row r="303" spans="1:5">
      <c r="A303" s="14" t="s">
        <v>25</v>
      </c>
      <c r="B303">
        <v>6853800</v>
      </c>
      <c r="C303" s="86">
        <v>43738</v>
      </c>
      <c r="D303">
        <v>16.399999999999999</v>
      </c>
      <c r="E303" t="s">
        <v>253</v>
      </c>
    </row>
    <row r="304" spans="1:5">
      <c r="A304" s="14" t="s">
        <v>25</v>
      </c>
      <c r="B304">
        <v>6853800</v>
      </c>
      <c r="C304" s="86">
        <v>43739</v>
      </c>
      <c r="D304">
        <v>157</v>
      </c>
      <c r="E304" t="s">
        <v>253</v>
      </c>
    </row>
    <row r="305" spans="1:5">
      <c r="A305" s="14" t="s">
        <v>25</v>
      </c>
      <c r="B305">
        <v>6853800</v>
      </c>
      <c r="C305" s="86">
        <v>43740</v>
      </c>
      <c r="D305">
        <v>164</v>
      </c>
      <c r="E305" t="s">
        <v>253</v>
      </c>
    </row>
    <row r="306" spans="1:5">
      <c r="A306" s="14" t="s">
        <v>25</v>
      </c>
      <c r="B306">
        <v>6853800</v>
      </c>
      <c r="C306" s="86">
        <v>43741</v>
      </c>
      <c r="D306">
        <v>50.6</v>
      </c>
      <c r="E306" t="s">
        <v>253</v>
      </c>
    </row>
    <row r="307" spans="1:5">
      <c r="A307" s="14" t="s">
        <v>25</v>
      </c>
      <c r="B307">
        <v>6853800</v>
      </c>
      <c r="C307" s="86">
        <v>43742</v>
      </c>
      <c r="D307">
        <v>41.9</v>
      </c>
      <c r="E307" t="s">
        <v>253</v>
      </c>
    </row>
    <row r="308" spans="1:5">
      <c r="A308" s="14" t="s">
        <v>25</v>
      </c>
      <c r="B308">
        <v>6853800</v>
      </c>
      <c r="C308" s="86">
        <v>43743</v>
      </c>
      <c r="D308">
        <v>36.6</v>
      </c>
      <c r="E308" t="s">
        <v>253</v>
      </c>
    </row>
    <row r="309" spans="1:5">
      <c r="A309" s="14" t="s">
        <v>25</v>
      </c>
      <c r="B309">
        <v>6853800</v>
      </c>
      <c r="C309" s="86">
        <v>43744</v>
      </c>
      <c r="D309">
        <v>29.9</v>
      </c>
      <c r="E309" t="s">
        <v>253</v>
      </c>
    </row>
    <row r="310" spans="1:5">
      <c r="A310" s="14" t="s">
        <v>25</v>
      </c>
      <c r="B310">
        <v>6853800</v>
      </c>
      <c r="C310" s="86">
        <v>43745</v>
      </c>
      <c r="D310">
        <v>27.7</v>
      </c>
      <c r="E310" t="s">
        <v>253</v>
      </c>
    </row>
    <row r="311" spans="1:5">
      <c r="A311" s="14" t="s">
        <v>25</v>
      </c>
      <c r="B311">
        <v>6853800</v>
      </c>
      <c r="C311" s="86">
        <v>43746</v>
      </c>
      <c r="D311">
        <v>26.2</v>
      </c>
      <c r="E311" t="s">
        <v>252</v>
      </c>
    </row>
    <row r="312" spans="1:5">
      <c r="A312" s="14" t="s">
        <v>25</v>
      </c>
      <c r="B312">
        <v>6853800</v>
      </c>
      <c r="C312" s="86">
        <v>43747</v>
      </c>
      <c r="D312">
        <v>25.6</v>
      </c>
      <c r="E312" t="s">
        <v>252</v>
      </c>
    </row>
    <row r="313" spans="1:5">
      <c r="A313" s="14" t="s">
        <v>25</v>
      </c>
      <c r="B313">
        <v>6853800</v>
      </c>
      <c r="C313" s="86">
        <v>43748</v>
      </c>
      <c r="D313">
        <v>25</v>
      </c>
      <c r="E313" t="s">
        <v>252</v>
      </c>
    </row>
    <row r="314" spans="1:5">
      <c r="A314" s="14" t="s">
        <v>25</v>
      </c>
      <c r="B314">
        <v>6853800</v>
      </c>
      <c r="C314" s="86">
        <v>43749</v>
      </c>
      <c r="D314">
        <v>24.5</v>
      </c>
      <c r="E314" t="s">
        <v>252</v>
      </c>
    </row>
    <row r="315" spans="1:5">
      <c r="A315" s="14" t="s">
        <v>25</v>
      </c>
      <c r="B315">
        <v>6853800</v>
      </c>
      <c r="C315" s="86">
        <v>43750</v>
      </c>
      <c r="D315">
        <v>23.9</v>
      </c>
      <c r="E315" t="s">
        <v>252</v>
      </c>
    </row>
    <row r="316" spans="1:5">
      <c r="A316" s="14" t="s">
        <v>25</v>
      </c>
      <c r="B316">
        <v>6853800</v>
      </c>
      <c r="C316" s="86">
        <v>43751</v>
      </c>
      <c r="D316">
        <v>23.3</v>
      </c>
      <c r="E316" t="s">
        <v>252</v>
      </c>
    </row>
    <row r="317" spans="1:5">
      <c r="A317" s="14" t="s">
        <v>25</v>
      </c>
      <c r="B317">
        <v>6853800</v>
      </c>
      <c r="C317" s="86">
        <v>43752</v>
      </c>
      <c r="D317">
        <v>22.5</v>
      </c>
      <c r="E317" t="s">
        <v>252</v>
      </c>
    </row>
    <row r="318" spans="1:5">
      <c r="A318" s="14" t="s">
        <v>25</v>
      </c>
      <c r="B318">
        <v>6853800</v>
      </c>
      <c r="C318" s="86">
        <v>43753</v>
      </c>
      <c r="D318">
        <v>21.7</v>
      </c>
      <c r="E318" t="s">
        <v>252</v>
      </c>
    </row>
    <row r="319" spans="1:5">
      <c r="A319" s="14" t="s">
        <v>25</v>
      </c>
      <c r="B319">
        <v>6853800</v>
      </c>
      <c r="C319" s="86">
        <v>43754</v>
      </c>
      <c r="D319">
        <v>21.3</v>
      </c>
      <c r="E319" t="s">
        <v>253</v>
      </c>
    </row>
    <row r="320" spans="1:5">
      <c r="A320" s="14" t="s">
        <v>25</v>
      </c>
      <c r="B320">
        <v>6853800</v>
      </c>
      <c r="C320" s="86">
        <v>43755</v>
      </c>
      <c r="D320">
        <v>22.1</v>
      </c>
      <c r="E320" t="s">
        <v>253</v>
      </c>
    </row>
    <row r="321" spans="1:5">
      <c r="A321" s="14" t="s">
        <v>25</v>
      </c>
      <c r="B321">
        <v>6853800</v>
      </c>
      <c r="C321" s="86">
        <v>43756</v>
      </c>
      <c r="D321">
        <v>22.1</v>
      </c>
      <c r="E321" t="s">
        <v>253</v>
      </c>
    </row>
    <row r="322" spans="1:5">
      <c r="A322" s="14" t="s">
        <v>25</v>
      </c>
      <c r="B322">
        <v>6853800</v>
      </c>
      <c r="C322" s="86">
        <v>43757</v>
      </c>
      <c r="D322">
        <v>23.6</v>
      </c>
      <c r="E322" t="s">
        <v>253</v>
      </c>
    </row>
    <row r="323" spans="1:5">
      <c r="A323" s="14" t="s">
        <v>25</v>
      </c>
      <c r="B323">
        <v>6853800</v>
      </c>
      <c r="C323" s="86">
        <v>43758</v>
      </c>
      <c r="D323">
        <v>23.8</v>
      </c>
      <c r="E323" t="s">
        <v>253</v>
      </c>
    </row>
    <row r="324" spans="1:5">
      <c r="A324" s="14" t="s">
        <v>25</v>
      </c>
      <c r="B324">
        <v>6853800</v>
      </c>
      <c r="C324" s="86">
        <v>43759</v>
      </c>
      <c r="D324">
        <v>23.1</v>
      </c>
      <c r="E324" t="s">
        <v>253</v>
      </c>
    </row>
    <row r="325" spans="1:5">
      <c r="A325" s="14" t="s">
        <v>25</v>
      </c>
      <c r="B325">
        <v>6853800</v>
      </c>
      <c r="C325" s="86">
        <v>43760</v>
      </c>
      <c r="D325">
        <v>22.1</v>
      </c>
      <c r="E325" t="s">
        <v>253</v>
      </c>
    </row>
    <row r="326" spans="1:5">
      <c r="A326" s="14" t="s">
        <v>25</v>
      </c>
      <c r="B326">
        <v>6853800</v>
      </c>
      <c r="C326" s="86">
        <v>43761</v>
      </c>
      <c r="D326">
        <v>22</v>
      </c>
      <c r="E326" t="s">
        <v>253</v>
      </c>
    </row>
    <row r="327" spans="1:5">
      <c r="A327" s="14" t="s">
        <v>25</v>
      </c>
      <c r="B327">
        <v>6853800</v>
      </c>
      <c r="C327" s="86">
        <v>43762</v>
      </c>
      <c r="D327">
        <v>21.4</v>
      </c>
      <c r="E327" t="s">
        <v>253</v>
      </c>
    </row>
    <row r="328" spans="1:5">
      <c r="A328" s="14" t="s">
        <v>25</v>
      </c>
      <c r="B328">
        <v>6853800</v>
      </c>
      <c r="C328" s="86">
        <v>43763</v>
      </c>
      <c r="D328">
        <v>21.3</v>
      </c>
      <c r="E328" t="s">
        <v>253</v>
      </c>
    </row>
    <row r="329" spans="1:5">
      <c r="A329" s="14" t="s">
        <v>25</v>
      </c>
      <c r="B329">
        <v>6853800</v>
      </c>
      <c r="C329" s="86">
        <v>43764</v>
      </c>
      <c r="D329">
        <v>22.1</v>
      </c>
      <c r="E329" t="s">
        <v>253</v>
      </c>
    </row>
    <row r="330" spans="1:5">
      <c r="A330" s="14" t="s">
        <v>25</v>
      </c>
      <c r="B330">
        <v>6853800</v>
      </c>
      <c r="C330" s="86">
        <v>43765</v>
      </c>
      <c r="D330">
        <v>23</v>
      </c>
      <c r="E330" t="s">
        <v>253</v>
      </c>
    </row>
    <row r="331" spans="1:5">
      <c r="A331" s="14" t="s">
        <v>25</v>
      </c>
      <c r="B331">
        <v>6853800</v>
      </c>
      <c r="C331" s="86">
        <v>43766</v>
      </c>
      <c r="D331">
        <v>22.7</v>
      </c>
      <c r="E331" t="s">
        <v>253</v>
      </c>
    </row>
    <row r="332" spans="1:5">
      <c r="A332" s="14" t="s">
        <v>25</v>
      </c>
      <c r="B332">
        <v>6853800</v>
      </c>
      <c r="C332" s="86">
        <v>43767</v>
      </c>
      <c r="D332">
        <v>23.5</v>
      </c>
      <c r="E332" t="s">
        <v>253</v>
      </c>
    </row>
    <row r="333" spans="1:5">
      <c r="A333" s="14" t="s">
        <v>25</v>
      </c>
      <c r="B333">
        <v>6853800</v>
      </c>
      <c r="C333" s="86">
        <v>43768</v>
      </c>
      <c r="D333">
        <v>23.5</v>
      </c>
      <c r="E333" t="s">
        <v>253</v>
      </c>
    </row>
    <row r="334" spans="1:5">
      <c r="A334" s="14" t="s">
        <v>25</v>
      </c>
      <c r="B334">
        <v>6853800</v>
      </c>
      <c r="C334" s="86">
        <v>43769</v>
      </c>
      <c r="D334">
        <v>23.8</v>
      </c>
      <c r="E334" t="s">
        <v>253</v>
      </c>
    </row>
    <row r="335" spans="1:5">
      <c r="A335" s="14" t="s">
        <v>25</v>
      </c>
      <c r="B335">
        <v>6853800</v>
      </c>
      <c r="C335" s="86">
        <v>43770</v>
      </c>
      <c r="D335">
        <v>23.8</v>
      </c>
      <c r="E335" t="s">
        <v>253</v>
      </c>
    </row>
    <row r="336" spans="1:5">
      <c r="A336" s="14" t="s">
        <v>25</v>
      </c>
      <c r="B336">
        <v>6853800</v>
      </c>
      <c r="C336" s="86">
        <v>43771</v>
      </c>
      <c r="D336">
        <v>23.9</v>
      </c>
      <c r="E336" t="s">
        <v>253</v>
      </c>
    </row>
    <row r="337" spans="1:5">
      <c r="A337" s="14" t="s">
        <v>25</v>
      </c>
      <c r="B337">
        <v>6853800</v>
      </c>
      <c r="C337" s="86">
        <v>43772</v>
      </c>
      <c r="D337">
        <v>24.5</v>
      </c>
      <c r="E337" t="s">
        <v>253</v>
      </c>
    </row>
    <row r="338" spans="1:5">
      <c r="A338" s="14" t="s">
        <v>25</v>
      </c>
      <c r="B338">
        <v>6853800</v>
      </c>
      <c r="C338" s="86">
        <v>43773</v>
      </c>
      <c r="D338">
        <v>24.7</v>
      </c>
      <c r="E338" t="s">
        <v>253</v>
      </c>
    </row>
    <row r="339" spans="1:5">
      <c r="A339" s="14" t="s">
        <v>25</v>
      </c>
      <c r="B339">
        <v>6853800</v>
      </c>
      <c r="C339" s="86">
        <v>43774</v>
      </c>
      <c r="D339">
        <v>24.3</v>
      </c>
      <c r="E339" t="s">
        <v>253</v>
      </c>
    </row>
    <row r="340" spans="1:5">
      <c r="A340" s="14" t="s">
        <v>25</v>
      </c>
      <c r="B340">
        <v>6853800</v>
      </c>
      <c r="C340" s="86">
        <v>43775</v>
      </c>
      <c r="D340">
        <v>24.2</v>
      </c>
      <c r="E340" t="s">
        <v>253</v>
      </c>
    </row>
    <row r="341" spans="1:5">
      <c r="A341" s="14" t="s">
        <v>25</v>
      </c>
      <c r="B341">
        <v>6853800</v>
      </c>
      <c r="C341" s="86">
        <v>43776</v>
      </c>
      <c r="D341">
        <v>23.4</v>
      </c>
      <c r="E341" t="s">
        <v>253</v>
      </c>
    </row>
    <row r="342" spans="1:5">
      <c r="A342" s="14" t="s">
        <v>25</v>
      </c>
      <c r="B342">
        <v>6853800</v>
      </c>
      <c r="C342" s="86">
        <v>43777</v>
      </c>
      <c r="D342">
        <v>23.2</v>
      </c>
      <c r="E342" t="s">
        <v>253</v>
      </c>
    </row>
    <row r="343" spans="1:5">
      <c r="A343" s="14" t="s">
        <v>25</v>
      </c>
      <c r="B343">
        <v>6853800</v>
      </c>
      <c r="C343" s="86">
        <v>43778</v>
      </c>
      <c r="D343">
        <v>23.6</v>
      </c>
      <c r="E343" t="s">
        <v>253</v>
      </c>
    </row>
    <row r="344" spans="1:5">
      <c r="A344" s="14" t="s">
        <v>25</v>
      </c>
      <c r="B344">
        <v>6853800</v>
      </c>
      <c r="C344" s="86">
        <v>43779</v>
      </c>
      <c r="D344">
        <v>24</v>
      </c>
      <c r="E344" t="s">
        <v>253</v>
      </c>
    </row>
    <row r="345" spans="1:5">
      <c r="A345" s="14" t="s">
        <v>25</v>
      </c>
      <c r="B345">
        <v>6853800</v>
      </c>
      <c r="C345" s="86">
        <v>43780</v>
      </c>
      <c r="D345">
        <v>23.1</v>
      </c>
      <c r="E345" t="s">
        <v>253</v>
      </c>
    </row>
    <row r="346" spans="1:5">
      <c r="A346" s="14" t="s">
        <v>25</v>
      </c>
      <c r="B346">
        <v>6853800</v>
      </c>
      <c r="C346" s="86">
        <v>43781</v>
      </c>
      <c r="D346">
        <v>22.1</v>
      </c>
      <c r="E346" t="s">
        <v>253</v>
      </c>
    </row>
    <row r="347" spans="1:5">
      <c r="A347" s="14" t="s">
        <v>25</v>
      </c>
      <c r="B347">
        <v>6853800</v>
      </c>
      <c r="C347" s="86">
        <v>43782</v>
      </c>
      <c r="D347">
        <v>23.6</v>
      </c>
      <c r="E347" t="s">
        <v>253</v>
      </c>
    </row>
    <row r="348" spans="1:5">
      <c r="A348" s="14" t="s">
        <v>25</v>
      </c>
      <c r="B348">
        <v>6853800</v>
      </c>
      <c r="C348" s="86">
        <v>43783</v>
      </c>
      <c r="D348">
        <v>23.9</v>
      </c>
      <c r="E348" t="s">
        <v>253</v>
      </c>
    </row>
    <row r="349" spans="1:5">
      <c r="A349" s="14" t="s">
        <v>25</v>
      </c>
      <c r="B349">
        <v>6853800</v>
      </c>
      <c r="C349" s="86">
        <v>43784</v>
      </c>
      <c r="D349">
        <v>23.9</v>
      </c>
      <c r="E349" t="s">
        <v>253</v>
      </c>
    </row>
    <row r="350" spans="1:5">
      <c r="A350" s="14" t="s">
        <v>25</v>
      </c>
      <c r="B350">
        <v>6853800</v>
      </c>
      <c r="C350" s="86">
        <v>43785</v>
      </c>
      <c r="D350">
        <v>24.5</v>
      </c>
      <c r="E350" t="s">
        <v>253</v>
      </c>
    </row>
    <row r="351" spans="1:5">
      <c r="A351" s="14" t="s">
        <v>25</v>
      </c>
      <c r="B351">
        <v>6853800</v>
      </c>
      <c r="C351" s="86">
        <v>43786</v>
      </c>
      <c r="D351">
        <v>24.6</v>
      </c>
      <c r="E351" t="s">
        <v>253</v>
      </c>
    </row>
    <row r="352" spans="1:5">
      <c r="A352" s="14" t="s">
        <v>25</v>
      </c>
      <c r="B352">
        <v>6853800</v>
      </c>
      <c r="C352" s="86">
        <v>43787</v>
      </c>
      <c r="D352">
        <v>25</v>
      </c>
      <c r="E352" t="s">
        <v>253</v>
      </c>
    </row>
    <row r="353" spans="1:5">
      <c r="A353" s="14" t="s">
        <v>25</v>
      </c>
      <c r="B353">
        <v>6853800</v>
      </c>
      <c r="C353" s="86">
        <v>43788</v>
      </c>
      <c r="D353">
        <v>24.5</v>
      </c>
      <c r="E353" t="s">
        <v>253</v>
      </c>
    </row>
    <row r="354" spans="1:5">
      <c r="A354" s="14" t="s">
        <v>25</v>
      </c>
      <c r="B354">
        <v>6853800</v>
      </c>
      <c r="C354" s="86">
        <v>43789</v>
      </c>
      <c r="D354">
        <v>24.7</v>
      </c>
      <c r="E354" t="s">
        <v>253</v>
      </c>
    </row>
    <row r="355" spans="1:5">
      <c r="A355" s="14" t="s">
        <v>25</v>
      </c>
      <c r="B355">
        <v>6853800</v>
      </c>
      <c r="C355" s="86">
        <v>43790</v>
      </c>
      <c r="D355">
        <v>25</v>
      </c>
      <c r="E355" t="s">
        <v>253</v>
      </c>
    </row>
    <row r="356" spans="1:5">
      <c r="A356" s="14" t="s">
        <v>25</v>
      </c>
      <c r="B356">
        <v>6853800</v>
      </c>
      <c r="C356" s="86">
        <v>43791</v>
      </c>
      <c r="D356">
        <v>24.9</v>
      </c>
      <c r="E356" t="s">
        <v>253</v>
      </c>
    </row>
    <row r="357" spans="1:5">
      <c r="A357" s="14" t="s">
        <v>25</v>
      </c>
      <c r="B357">
        <v>6853800</v>
      </c>
      <c r="C357" s="86">
        <v>43792</v>
      </c>
      <c r="D357">
        <v>26</v>
      </c>
      <c r="E357" t="s">
        <v>253</v>
      </c>
    </row>
    <row r="358" spans="1:5">
      <c r="A358" s="14" t="s">
        <v>25</v>
      </c>
      <c r="B358">
        <v>6853800</v>
      </c>
      <c r="C358" s="86">
        <v>43793</v>
      </c>
      <c r="D358">
        <v>26.5</v>
      </c>
      <c r="E358" t="s">
        <v>253</v>
      </c>
    </row>
    <row r="359" spans="1:5">
      <c r="A359" s="14" t="s">
        <v>25</v>
      </c>
      <c r="B359">
        <v>6853800</v>
      </c>
      <c r="C359" s="86">
        <v>43794</v>
      </c>
      <c r="D359">
        <v>25.7</v>
      </c>
      <c r="E359" t="s">
        <v>253</v>
      </c>
    </row>
    <row r="360" spans="1:5">
      <c r="A360" s="14" t="s">
        <v>25</v>
      </c>
      <c r="B360">
        <v>6853800</v>
      </c>
      <c r="C360" s="86">
        <v>43795</v>
      </c>
      <c r="D360">
        <v>25.3</v>
      </c>
      <c r="E360" t="s">
        <v>253</v>
      </c>
    </row>
    <row r="361" spans="1:5">
      <c r="A361" s="14" t="s">
        <v>25</v>
      </c>
      <c r="B361">
        <v>6853800</v>
      </c>
      <c r="C361" s="86">
        <v>43796</v>
      </c>
      <c r="D361">
        <v>25</v>
      </c>
      <c r="E361" t="s">
        <v>253</v>
      </c>
    </row>
    <row r="362" spans="1:5">
      <c r="A362" s="14" t="s">
        <v>25</v>
      </c>
      <c r="B362">
        <v>6853800</v>
      </c>
      <c r="C362" s="86">
        <v>43797</v>
      </c>
      <c r="D362">
        <v>24.2</v>
      </c>
      <c r="E362" t="s">
        <v>253</v>
      </c>
    </row>
    <row r="363" spans="1:5">
      <c r="A363" s="14" t="s">
        <v>25</v>
      </c>
      <c r="B363">
        <v>6853800</v>
      </c>
      <c r="C363" s="86">
        <v>43798</v>
      </c>
      <c r="D363">
        <v>25</v>
      </c>
      <c r="E363" t="s">
        <v>253</v>
      </c>
    </row>
    <row r="364" spans="1:5">
      <c r="A364" s="14" t="s">
        <v>25</v>
      </c>
      <c r="B364">
        <v>6853800</v>
      </c>
      <c r="C364" s="86">
        <v>43799</v>
      </c>
      <c r="D364">
        <v>26.2</v>
      </c>
      <c r="E364" t="s">
        <v>253</v>
      </c>
    </row>
    <row r="365" spans="1:5">
      <c r="A365" s="14" t="s">
        <v>25</v>
      </c>
      <c r="B365">
        <v>6853800</v>
      </c>
      <c r="C365" s="86">
        <v>43800</v>
      </c>
      <c r="D365">
        <v>24.1</v>
      </c>
      <c r="E365" t="s">
        <v>253</v>
      </c>
    </row>
    <row r="366" spans="1:5">
      <c r="A366" s="14" t="s">
        <v>25</v>
      </c>
      <c r="B366">
        <v>6853800</v>
      </c>
      <c r="C366" s="86">
        <v>43801</v>
      </c>
      <c r="D366">
        <v>23.4</v>
      </c>
      <c r="E366" t="s">
        <v>253</v>
      </c>
    </row>
    <row r="367" spans="1:5">
      <c r="A367" s="14" t="s">
        <v>25</v>
      </c>
      <c r="B367">
        <v>6853800</v>
      </c>
      <c r="C367" s="86">
        <v>43802</v>
      </c>
      <c r="D367">
        <v>23.8</v>
      </c>
      <c r="E367" t="s">
        <v>253</v>
      </c>
    </row>
    <row r="368" spans="1:5">
      <c r="A368" s="14" t="s">
        <v>25</v>
      </c>
      <c r="B368">
        <v>6853800</v>
      </c>
      <c r="C368" s="86">
        <v>43803</v>
      </c>
      <c r="D368">
        <v>24.1</v>
      </c>
      <c r="E368" t="s">
        <v>253</v>
      </c>
    </row>
    <row r="369" spans="1:5">
      <c r="A369" s="14" t="s">
        <v>25</v>
      </c>
      <c r="B369">
        <v>6853800</v>
      </c>
      <c r="C369" s="86">
        <v>43804</v>
      </c>
      <c r="D369">
        <v>24.3</v>
      </c>
      <c r="E369" t="s">
        <v>253</v>
      </c>
    </row>
    <row r="370" spans="1:5">
      <c r="A370" s="14" t="s">
        <v>25</v>
      </c>
      <c r="B370">
        <v>6853800</v>
      </c>
      <c r="C370" s="86">
        <v>43805</v>
      </c>
      <c r="D370">
        <v>23.9</v>
      </c>
      <c r="E370" t="s">
        <v>253</v>
      </c>
    </row>
    <row r="371" spans="1:5">
      <c r="A371" s="14" t="s">
        <v>25</v>
      </c>
      <c r="B371">
        <v>6853800</v>
      </c>
      <c r="C371" s="86">
        <v>43806</v>
      </c>
      <c r="D371">
        <v>23.7</v>
      </c>
      <c r="E371" t="s">
        <v>253</v>
      </c>
    </row>
    <row r="372" spans="1:5">
      <c r="A372" s="14" t="s">
        <v>25</v>
      </c>
      <c r="B372">
        <v>6853800</v>
      </c>
      <c r="C372" s="86">
        <v>43807</v>
      </c>
      <c r="D372">
        <v>24</v>
      </c>
      <c r="E372" t="s">
        <v>253</v>
      </c>
    </row>
    <row r="373" spans="1:5">
      <c r="A373" s="14" t="s">
        <v>25</v>
      </c>
      <c r="B373">
        <v>6853800</v>
      </c>
      <c r="C373" s="86">
        <v>43808</v>
      </c>
      <c r="D373">
        <v>23.8</v>
      </c>
      <c r="E373" t="s">
        <v>253</v>
      </c>
    </row>
    <row r="374" spans="1:5">
      <c r="A374" s="14" t="s">
        <v>25</v>
      </c>
      <c r="B374">
        <v>6853800</v>
      </c>
      <c r="C374" s="86">
        <v>43809</v>
      </c>
      <c r="D374">
        <v>22.7</v>
      </c>
      <c r="E374" t="s">
        <v>253</v>
      </c>
    </row>
    <row r="375" spans="1:5">
      <c r="A375" s="14" t="s">
        <v>25</v>
      </c>
      <c r="B375">
        <v>6853800</v>
      </c>
      <c r="C375" s="86">
        <v>43810</v>
      </c>
      <c r="D375">
        <v>21.8</v>
      </c>
      <c r="E375" t="s">
        <v>252</v>
      </c>
    </row>
    <row r="376" spans="1:5">
      <c r="A376" s="14" t="s">
        <v>25</v>
      </c>
      <c r="B376">
        <v>6853800</v>
      </c>
      <c r="C376" s="86">
        <v>43811</v>
      </c>
      <c r="D376">
        <v>23.6</v>
      </c>
      <c r="E376" t="s">
        <v>253</v>
      </c>
    </row>
    <row r="377" spans="1:5">
      <c r="A377" s="14" t="s">
        <v>25</v>
      </c>
      <c r="B377">
        <v>6853800</v>
      </c>
      <c r="C377" s="86">
        <v>43812</v>
      </c>
      <c r="D377">
        <v>23.1</v>
      </c>
      <c r="E377" t="s">
        <v>253</v>
      </c>
    </row>
    <row r="378" spans="1:5">
      <c r="A378" s="14" t="s">
        <v>25</v>
      </c>
      <c r="B378">
        <v>6853800</v>
      </c>
      <c r="C378" s="86">
        <v>43813</v>
      </c>
      <c r="D378">
        <v>23.4</v>
      </c>
      <c r="E378" t="s">
        <v>253</v>
      </c>
    </row>
    <row r="379" spans="1:5">
      <c r="A379" s="14" t="s">
        <v>25</v>
      </c>
      <c r="B379">
        <v>6853800</v>
      </c>
      <c r="C379" s="86">
        <v>43814</v>
      </c>
      <c r="D379">
        <v>23.6</v>
      </c>
      <c r="E379" t="s">
        <v>253</v>
      </c>
    </row>
    <row r="380" spans="1:5">
      <c r="A380" s="14" t="s">
        <v>25</v>
      </c>
      <c r="B380">
        <v>6853800</v>
      </c>
      <c r="C380" s="86">
        <v>43815</v>
      </c>
      <c r="D380">
        <v>23.4</v>
      </c>
      <c r="E380" t="s">
        <v>253</v>
      </c>
    </row>
    <row r="381" spans="1:5">
      <c r="A381" s="14" t="s">
        <v>25</v>
      </c>
      <c r="B381">
        <v>6853800</v>
      </c>
      <c r="C381" s="86">
        <v>43816</v>
      </c>
      <c r="D381">
        <v>20.8</v>
      </c>
      <c r="E381" t="s">
        <v>252</v>
      </c>
    </row>
    <row r="382" spans="1:5">
      <c r="A382" s="14" t="s">
        <v>25</v>
      </c>
      <c r="B382">
        <v>6853800</v>
      </c>
      <c r="C382" s="86">
        <v>43817</v>
      </c>
      <c r="D382">
        <v>22.1</v>
      </c>
      <c r="E382" t="s">
        <v>252</v>
      </c>
    </row>
    <row r="383" spans="1:5">
      <c r="A383" s="14" t="s">
        <v>25</v>
      </c>
      <c r="B383">
        <v>6853800</v>
      </c>
      <c r="C383" s="86">
        <v>43818</v>
      </c>
      <c r="D383">
        <v>22</v>
      </c>
      <c r="E383" t="s">
        <v>252</v>
      </c>
    </row>
    <row r="384" spans="1:5">
      <c r="A384" s="14" t="s">
        <v>25</v>
      </c>
      <c r="B384">
        <v>6853800</v>
      </c>
      <c r="C384" s="86">
        <v>43819</v>
      </c>
      <c r="D384">
        <v>22.8</v>
      </c>
      <c r="E384" t="s">
        <v>253</v>
      </c>
    </row>
    <row r="385" spans="1:5">
      <c r="A385" s="14" t="s">
        <v>25</v>
      </c>
      <c r="B385">
        <v>6853800</v>
      </c>
      <c r="C385" s="86">
        <v>43820</v>
      </c>
      <c r="D385">
        <v>21.5</v>
      </c>
      <c r="E385" t="s">
        <v>252</v>
      </c>
    </row>
    <row r="386" spans="1:5">
      <c r="A386" s="14" t="s">
        <v>25</v>
      </c>
      <c r="B386">
        <v>6853800</v>
      </c>
      <c r="C386" s="86">
        <v>43821</v>
      </c>
      <c r="D386">
        <v>22.5</v>
      </c>
      <c r="E386" t="s">
        <v>252</v>
      </c>
    </row>
    <row r="387" spans="1:5">
      <c r="A387" s="14" t="s">
        <v>25</v>
      </c>
      <c r="B387">
        <v>6853800</v>
      </c>
      <c r="C387" s="86">
        <v>43822</v>
      </c>
      <c r="D387">
        <v>22.9</v>
      </c>
      <c r="E387" t="s">
        <v>253</v>
      </c>
    </row>
    <row r="388" spans="1:5">
      <c r="A388" s="14" t="s">
        <v>25</v>
      </c>
      <c r="B388">
        <v>6853800</v>
      </c>
      <c r="C388" s="86">
        <v>43823</v>
      </c>
      <c r="D388">
        <v>23.2</v>
      </c>
      <c r="E388" t="s">
        <v>253</v>
      </c>
    </row>
    <row r="389" spans="1:5">
      <c r="A389" s="14" t="s">
        <v>25</v>
      </c>
      <c r="B389">
        <v>6853800</v>
      </c>
      <c r="C389" s="86">
        <v>43824</v>
      </c>
      <c r="D389">
        <v>23.5</v>
      </c>
      <c r="E389" t="s">
        <v>253</v>
      </c>
    </row>
    <row r="390" spans="1:5">
      <c r="A390" s="14" t="s">
        <v>25</v>
      </c>
      <c r="B390">
        <v>6853800</v>
      </c>
      <c r="C390" s="86">
        <v>43825</v>
      </c>
      <c r="D390">
        <v>23.2</v>
      </c>
      <c r="E390" t="s">
        <v>253</v>
      </c>
    </row>
    <row r="391" spans="1:5">
      <c r="A391" s="14" t="s">
        <v>25</v>
      </c>
      <c r="B391">
        <v>6853800</v>
      </c>
      <c r="C391" s="86">
        <v>43826</v>
      </c>
      <c r="D391">
        <v>22.8</v>
      </c>
      <c r="E391" t="s">
        <v>253</v>
      </c>
    </row>
    <row r="392" spans="1:5">
      <c r="A392" s="14" t="s">
        <v>25</v>
      </c>
      <c r="B392">
        <v>6853800</v>
      </c>
      <c r="C392" s="86">
        <v>43827</v>
      </c>
      <c r="D392">
        <v>81.2</v>
      </c>
      <c r="E392" t="s">
        <v>253</v>
      </c>
    </row>
    <row r="393" spans="1:5">
      <c r="A393" s="14" t="s">
        <v>25</v>
      </c>
      <c r="B393">
        <v>6853800</v>
      </c>
      <c r="C393" s="86">
        <v>43828</v>
      </c>
      <c r="D393">
        <v>247</v>
      </c>
      <c r="E393" t="s">
        <v>253</v>
      </c>
    </row>
    <row r="394" spans="1:5">
      <c r="A394" s="14" t="s">
        <v>25</v>
      </c>
      <c r="B394">
        <v>6853800</v>
      </c>
      <c r="C394" s="86">
        <v>43829</v>
      </c>
      <c r="D394">
        <v>200</v>
      </c>
      <c r="E394" t="s">
        <v>253</v>
      </c>
    </row>
    <row r="395" spans="1:5">
      <c r="A395" s="14" t="s">
        <v>25</v>
      </c>
      <c r="B395">
        <v>6853800</v>
      </c>
      <c r="C395" s="86">
        <v>43830</v>
      </c>
      <c r="D395">
        <v>74.3</v>
      </c>
      <c r="E395" t="s">
        <v>253</v>
      </c>
    </row>
    <row r="396" spans="1:5">
      <c r="A396" s="14" t="s">
        <v>25</v>
      </c>
      <c r="B396">
        <v>6853800</v>
      </c>
      <c r="C396" s="86">
        <v>43831</v>
      </c>
      <c r="D396">
        <v>56.5</v>
      </c>
      <c r="E396" t="s">
        <v>252</v>
      </c>
    </row>
    <row r="397" spans="1:5">
      <c r="A397" s="14" t="s">
        <v>25</v>
      </c>
      <c r="B397">
        <v>6853800</v>
      </c>
      <c r="C397" s="86">
        <v>43832</v>
      </c>
      <c r="D397">
        <v>57.6</v>
      </c>
      <c r="E397" t="s">
        <v>252</v>
      </c>
    </row>
    <row r="398" spans="1:5">
      <c r="A398" s="14" t="s">
        <v>25</v>
      </c>
      <c r="B398">
        <v>6853800</v>
      </c>
      <c r="C398" s="86">
        <v>43833</v>
      </c>
      <c r="D398">
        <v>42.2</v>
      </c>
      <c r="E398" t="s">
        <v>253</v>
      </c>
    </row>
    <row r="399" spans="1:5">
      <c r="A399" s="14" t="s">
        <v>25</v>
      </c>
      <c r="B399">
        <v>6853800</v>
      </c>
      <c r="C399" s="86">
        <v>43834</v>
      </c>
      <c r="D399">
        <v>35.200000000000003</v>
      </c>
      <c r="E399" t="s">
        <v>253</v>
      </c>
    </row>
    <row r="400" spans="1:5">
      <c r="A400" s="14" t="s">
        <v>25</v>
      </c>
      <c r="B400">
        <v>6853800</v>
      </c>
      <c r="C400" s="86">
        <v>43835</v>
      </c>
      <c r="D400">
        <v>34.1</v>
      </c>
      <c r="E400" t="s">
        <v>253</v>
      </c>
    </row>
    <row r="401" spans="1:5">
      <c r="A401" s="14" t="s">
        <v>25</v>
      </c>
      <c r="B401">
        <v>6853800</v>
      </c>
      <c r="C401" s="86">
        <v>43836</v>
      </c>
      <c r="D401">
        <v>33.5</v>
      </c>
      <c r="E401" t="s">
        <v>253</v>
      </c>
    </row>
    <row r="402" spans="1:5">
      <c r="A402" s="14" t="s">
        <v>25</v>
      </c>
      <c r="B402">
        <v>6853800</v>
      </c>
      <c r="C402" s="86">
        <v>43837</v>
      </c>
      <c r="D402">
        <v>31</v>
      </c>
      <c r="E402" t="s">
        <v>253</v>
      </c>
    </row>
    <row r="403" spans="1:5">
      <c r="A403" s="14" t="s">
        <v>25</v>
      </c>
      <c r="B403">
        <v>6853800</v>
      </c>
      <c r="C403" s="86">
        <v>43838</v>
      </c>
      <c r="D403">
        <v>30</v>
      </c>
      <c r="E403" t="s">
        <v>253</v>
      </c>
    </row>
    <row r="404" spans="1:5">
      <c r="A404" s="14" t="s">
        <v>25</v>
      </c>
      <c r="B404">
        <v>6853800</v>
      </c>
      <c r="C404" s="86">
        <v>43839</v>
      </c>
      <c r="D404">
        <v>30.2</v>
      </c>
      <c r="E404" t="s">
        <v>253</v>
      </c>
    </row>
    <row r="405" spans="1:5">
      <c r="A405" s="14" t="s">
        <v>25</v>
      </c>
      <c r="B405">
        <v>6853800</v>
      </c>
      <c r="C405" s="86">
        <v>43840</v>
      </c>
      <c r="D405">
        <v>29.9</v>
      </c>
      <c r="E405" t="s">
        <v>253</v>
      </c>
    </row>
    <row r="406" spans="1:5">
      <c r="A406" s="14" t="s">
        <v>25</v>
      </c>
      <c r="B406">
        <v>6853800</v>
      </c>
      <c r="C406" s="86">
        <v>43841</v>
      </c>
      <c r="D406">
        <v>25.3</v>
      </c>
      <c r="E406" t="s">
        <v>252</v>
      </c>
    </row>
    <row r="407" spans="1:5">
      <c r="A407" s="14" t="s">
        <v>25</v>
      </c>
      <c r="B407">
        <v>6853800</v>
      </c>
      <c r="C407" s="86">
        <v>43842</v>
      </c>
      <c r="D407">
        <v>27.2</v>
      </c>
      <c r="E407" t="s">
        <v>252</v>
      </c>
    </row>
    <row r="408" spans="1:5">
      <c r="A408" s="14" t="s">
        <v>25</v>
      </c>
      <c r="B408">
        <v>6853800</v>
      </c>
      <c r="C408" s="86">
        <v>43843</v>
      </c>
      <c r="D408">
        <v>28.1</v>
      </c>
      <c r="E408" t="s">
        <v>252</v>
      </c>
    </row>
    <row r="409" spans="1:5">
      <c r="A409" s="14" t="s">
        <v>25</v>
      </c>
      <c r="B409">
        <v>6853800</v>
      </c>
      <c r="C409" s="86">
        <v>43844</v>
      </c>
      <c r="D409">
        <v>27.4</v>
      </c>
      <c r="E409" t="s">
        <v>253</v>
      </c>
    </row>
    <row r="410" spans="1:5">
      <c r="A410" s="14" t="s">
        <v>25</v>
      </c>
      <c r="B410">
        <v>6853800</v>
      </c>
      <c r="C410" s="86">
        <v>43845</v>
      </c>
      <c r="D410">
        <v>27.5</v>
      </c>
      <c r="E410" t="s">
        <v>253</v>
      </c>
    </row>
    <row r="411" spans="1:5">
      <c r="A411" s="14" t="s">
        <v>25</v>
      </c>
      <c r="B411">
        <v>6853800</v>
      </c>
      <c r="C411" s="86">
        <v>43846</v>
      </c>
      <c r="D411">
        <v>24</v>
      </c>
      <c r="E411" t="s">
        <v>252</v>
      </c>
    </row>
    <row r="412" spans="1:5">
      <c r="A412" s="14" t="s">
        <v>25</v>
      </c>
      <c r="B412">
        <v>6853800</v>
      </c>
      <c r="C412" s="86">
        <v>43847</v>
      </c>
      <c r="D412">
        <v>26.9</v>
      </c>
      <c r="E412" t="s">
        <v>252</v>
      </c>
    </row>
    <row r="413" spans="1:5">
      <c r="A413" s="14" t="s">
        <v>25</v>
      </c>
      <c r="B413">
        <v>6853800</v>
      </c>
      <c r="C413" s="86">
        <v>43848</v>
      </c>
      <c r="D413">
        <v>27.1</v>
      </c>
      <c r="E413" t="s">
        <v>252</v>
      </c>
    </row>
    <row r="414" spans="1:5">
      <c r="A414" s="14" t="s">
        <v>25</v>
      </c>
      <c r="B414">
        <v>6853800</v>
      </c>
      <c r="C414" s="86">
        <v>43849</v>
      </c>
      <c r="D414">
        <v>25.2</v>
      </c>
      <c r="E414" t="s">
        <v>252</v>
      </c>
    </row>
    <row r="415" spans="1:5">
      <c r="A415" s="14" t="s">
        <v>25</v>
      </c>
      <c r="B415">
        <v>6853800</v>
      </c>
      <c r="C415" s="86">
        <v>43850</v>
      </c>
      <c r="D415">
        <v>23.6</v>
      </c>
      <c r="E415" t="s">
        <v>252</v>
      </c>
    </row>
    <row r="416" spans="1:5">
      <c r="A416" s="14" t="s">
        <v>25</v>
      </c>
      <c r="B416">
        <v>6853800</v>
      </c>
      <c r="C416" s="86">
        <v>43851</v>
      </c>
      <c r="D416">
        <v>22.9</v>
      </c>
      <c r="E416" t="s">
        <v>252</v>
      </c>
    </row>
    <row r="417" spans="1:7">
      <c r="A417" s="14" t="s">
        <v>25</v>
      </c>
      <c r="B417">
        <v>6853800</v>
      </c>
      <c r="C417" s="86">
        <v>43852</v>
      </c>
      <c r="D417">
        <v>26</v>
      </c>
      <c r="E417" t="s">
        <v>253</v>
      </c>
    </row>
    <row r="418" spans="1:7">
      <c r="A418" s="14" t="s">
        <v>25</v>
      </c>
      <c r="B418">
        <v>6853800</v>
      </c>
      <c r="C418" s="86">
        <v>43853</v>
      </c>
      <c r="D418">
        <v>50.8</v>
      </c>
      <c r="E418" t="s">
        <v>253</v>
      </c>
    </row>
    <row r="419" spans="1:7">
      <c r="A419" s="14" t="s">
        <v>25</v>
      </c>
      <c r="B419">
        <v>6853800</v>
      </c>
      <c r="C419" s="86">
        <v>43854</v>
      </c>
      <c r="D419">
        <v>110</v>
      </c>
      <c r="E419" t="s">
        <v>253</v>
      </c>
    </row>
    <row r="420" spans="1:7">
      <c r="A420" s="14" t="s">
        <v>25</v>
      </c>
      <c r="B420">
        <v>6853800</v>
      </c>
      <c r="C420" s="86">
        <v>43855</v>
      </c>
      <c r="D420">
        <v>110</v>
      </c>
      <c r="E420" t="s">
        <v>253</v>
      </c>
    </row>
    <row r="421" spans="1:7">
      <c r="A421" s="14" t="s">
        <v>25</v>
      </c>
      <c r="B421">
        <v>6853800</v>
      </c>
      <c r="C421" s="86">
        <v>43856</v>
      </c>
      <c r="D421">
        <v>95.6</v>
      </c>
      <c r="E421" t="s">
        <v>253</v>
      </c>
    </row>
    <row r="422" spans="1:7">
      <c r="A422" s="14" t="s">
        <v>25</v>
      </c>
      <c r="B422">
        <v>6853800</v>
      </c>
      <c r="C422" s="86">
        <v>43857</v>
      </c>
      <c r="D422">
        <v>127</v>
      </c>
      <c r="E422" t="s">
        <v>253</v>
      </c>
    </row>
    <row r="423" spans="1:7">
      <c r="A423" s="14" t="s">
        <v>25</v>
      </c>
      <c r="B423">
        <v>6853800</v>
      </c>
      <c r="C423" s="86">
        <v>43858</v>
      </c>
      <c r="D423">
        <v>150</v>
      </c>
      <c r="E423" t="s">
        <v>253</v>
      </c>
    </row>
    <row r="424" spans="1:7">
      <c r="A424" s="14" t="s">
        <v>25</v>
      </c>
      <c r="B424">
        <v>6853800</v>
      </c>
      <c r="C424" s="86">
        <v>43859</v>
      </c>
      <c r="D424">
        <v>92</v>
      </c>
      <c r="E424" t="s">
        <v>253</v>
      </c>
    </row>
    <row r="425" spans="1:7">
      <c r="A425" s="14" t="s">
        <v>25</v>
      </c>
      <c r="B425">
        <v>6853800</v>
      </c>
      <c r="C425" s="86">
        <v>43860</v>
      </c>
      <c r="D425">
        <v>62.6</v>
      </c>
      <c r="E425" t="s">
        <v>253</v>
      </c>
    </row>
    <row r="426" spans="1:7">
      <c r="A426" s="14" t="s">
        <v>25</v>
      </c>
      <c r="B426">
        <v>6853800</v>
      </c>
      <c r="C426" s="86">
        <v>43861</v>
      </c>
      <c r="D426">
        <v>59.3</v>
      </c>
      <c r="E426" t="s">
        <v>253</v>
      </c>
      <c r="G426">
        <f>AVERAGE(D396:D426)</f>
        <v>49.958064516129028</v>
      </c>
    </row>
    <row r="427" spans="1:7">
      <c r="A427" s="14" t="s">
        <v>25</v>
      </c>
      <c r="B427">
        <v>6853800</v>
      </c>
      <c r="C427" s="86">
        <v>43862</v>
      </c>
      <c r="D427">
        <v>53</v>
      </c>
      <c r="E427" t="s">
        <v>253</v>
      </c>
    </row>
    <row r="428" spans="1:7">
      <c r="A428" s="14" t="s">
        <v>25</v>
      </c>
      <c r="B428">
        <v>6853800</v>
      </c>
      <c r="C428" s="86">
        <v>43863</v>
      </c>
      <c r="D428">
        <v>49.4</v>
      </c>
      <c r="E428" t="s">
        <v>253</v>
      </c>
    </row>
    <row r="429" spans="1:7">
      <c r="A429" s="14" t="s">
        <v>25</v>
      </c>
      <c r="B429">
        <v>6853800</v>
      </c>
      <c r="C429" s="86">
        <v>43864</v>
      </c>
      <c r="D429">
        <v>45.3</v>
      </c>
      <c r="E429" t="s">
        <v>253</v>
      </c>
    </row>
    <row r="430" spans="1:7">
      <c r="A430" s="14" t="s">
        <v>25</v>
      </c>
      <c r="B430">
        <v>6853800</v>
      </c>
      <c r="C430" s="86">
        <v>43865</v>
      </c>
      <c r="D430">
        <v>39</v>
      </c>
      <c r="E430" t="s">
        <v>253</v>
      </c>
    </row>
    <row r="431" spans="1:7">
      <c r="A431" s="14" t="s">
        <v>25</v>
      </c>
      <c r="B431">
        <v>6853800</v>
      </c>
      <c r="C431" s="86">
        <v>43866</v>
      </c>
      <c r="D431">
        <v>31.1</v>
      </c>
      <c r="E431" t="s">
        <v>252</v>
      </c>
    </row>
    <row r="432" spans="1:7">
      <c r="A432" s="14" t="s">
        <v>25</v>
      </c>
      <c r="B432">
        <v>6853800</v>
      </c>
      <c r="C432" s="86">
        <v>43867</v>
      </c>
      <c r="D432">
        <v>27.8</v>
      </c>
      <c r="E432" t="s">
        <v>252</v>
      </c>
    </row>
    <row r="433" spans="1:5">
      <c r="A433" s="14" t="s">
        <v>25</v>
      </c>
      <c r="B433">
        <v>6853800</v>
      </c>
      <c r="C433" s="86">
        <v>43868</v>
      </c>
      <c r="D433">
        <v>33.9</v>
      </c>
      <c r="E433" t="s">
        <v>252</v>
      </c>
    </row>
    <row r="434" spans="1:5">
      <c r="A434" s="14" t="s">
        <v>25</v>
      </c>
      <c r="B434">
        <v>6853800</v>
      </c>
      <c r="C434" s="86">
        <v>43869</v>
      </c>
      <c r="D434">
        <v>31.9</v>
      </c>
      <c r="E434" t="s">
        <v>252</v>
      </c>
    </row>
    <row r="435" spans="1:5">
      <c r="A435" s="14" t="s">
        <v>25</v>
      </c>
      <c r="B435">
        <v>6853800</v>
      </c>
      <c r="C435" s="86">
        <v>43870</v>
      </c>
      <c r="D435">
        <v>30.5</v>
      </c>
      <c r="E435" t="s">
        <v>252</v>
      </c>
    </row>
    <row r="436" spans="1:5">
      <c r="A436" s="14" t="s">
        <v>25</v>
      </c>
      <c r="B436">
        <v>6853800</v>
      </c>
      <c r="C436" s="86">
        <v>43871</v>
      </c>
      <c r="D436">
        <v>31</v>
      </c>
      <c r="E436" t="s">
        <v>253</v>
      </c>
    </row>
    <row r="437" spans="1:5">
      <c r="A437" s="14" t="s">
        <v>25</v>
      </c>
      <c r="B437">
        <v>6853800</v>
      </c>
      <c r="C437" s="86">
        <v>43872</v>
      </c>
      <c r="D437">
        <v>29.6</v>
      </c>
      <c r="E437" t="s">
        <v>253</v>
      </c>
    </row>
    <row r="438" spans="1:5">
      <c r="A438" s="14" t="s">
        <v>25</v>
      </c>
      <c r="B438">
        <v>6853800</v>
      </c>
      <c r="C438" s="86">
        <v>43873</v>
      </c>
      <c r="D438">
        <v>30</v>
      </c>
      <c r="E438" t="s">
        <v>253</v>
      </c>
    </row>
    <row r="439" spans="1:5">
      <c r="A439" s="14" t="s">
        <v>25</v>
      </c>
      <c r="B439">
        <v>6853800</v>
      </c>
      <c r="C439" s="86">
        <v>43874</v>
      </c>
      <c r="D439">
        <v>24.2</v>
      </c>
      <c r="E439" t="s">
        <v>252</v>
      </c>
    </row>
    <row r="440" spans="1:5">
      <c r="A440" s="14" t="s">
        <v>25</v>
      </c>
      <c r="B440">
        <v>6853800</v>
      </c>
      <c r="C440" s="86">
        <v>43875</v>
      </c>
      <c r="D440">
        <v>21.1</v>
      </c>
      <c r="E440" t="s">
        <v>252</v>
      </c>
    </row>
    <row r="441" spans="1:5">
      <c r="A441" s="14" t="s">
        <v>25</v>
      </c>
      <c r="B441">
        <v>6853800</v>
      </c>
      <c r="C441" s="86">
        <v>43876</v>
      </c>
      <c r="D441">
        <v>24.1</v>
      </c>
      <c r="E441" t="s">
        <v>252</v>
      </c>
    </row>
    <row r="442" spans="1:5">
      <c r="A442" s="14" t="s">
        <v>25</v>
      </c>
      <c r="B442">
        <v>6853800</v>
      </c>
      <c r="C442" s="86">
        <v>43877</v>
      </c>
      <c r="D442">
        <v>28.9</v>
      </c>
      <c r="E442" t="s">
        <v>253</v>
      </c>
    </row>
    <row r="443" spans="1:5">
      <c r="A443" s="14" t="s">
        <v>25</v>
      </c>
      <c r="B443">
        <v>6853800</v>
      </c>
      <c r="C443" s="86">
        <v>43878</v>
      </c>
      <c r="D443">
        <v>29.9</v>
      </c>
      <c r="E443" t="s">
        <v>253</v>
      </c>
    </row>
    <row r="444" spans="1:5">
      <c r="A444" s="14" t="s">
        <v>25</v>
      </c>
      <c r="B444">
        <v>6853800</v>
      </c>
      <c r="C444" s="86">
        <v>43879</v>
      </c>
      <c r="D444">
        <v>29.7</v>
      </c>
      <c r="E444" t="s">
        <v>253</v>
      </c>
    </row>
    <row r="445" spans="1:5">
      <c r="A445" s="14" t="s">
        <v>25</v>
      </c>
      <c r="B445">
        <v>6853800</v>
      </c>
      <c r="C445" s="86">
        <v>43880</v>
      </c>
      <c r="D445">
        <v>28.7</v>
      </c>
      <c r="E445" t="s">
        <v>253</v>
      </c>
    </row>
    <row r="446" spans="1:5">
      <c r="A446" s="14" t="s">
        <v>25</v>
      </c>
      <c r="B446">
        <v>6853800</v>
      </c>
      <c r="C446" s="86">
        <v>43881</v>
      </c>
      <c r="D446">
        <v>24.8</v>
      </c>
      <c r="E446" t="s">
        <v>252</v>
      </c>
    </row>
    <row r="447" spans="1:5">
      <c r="A447" s="14" t="s">
        <v>25</v>
      </c>
      <c r="B447">
        <v>6853800</v>
      </c>
      <c r="C447" s="86">
        <v>43882</v>
      </c>
      <c r="D447">
        <v>24.3</v>
      </c>
      <c r="E447" t="s">
        <v>252</v>
      </c>
    </row>
    <row r="448" spans="1:5">
      <c r="A448" s="14" t="s">
        <v>25</v>
      </c>
      <c r="B448">
        <v>6853800</v>
      </c>
      <c r="C448" s="86">
        <v>43883</v>
      </c>
      <c r="D448">
        <v>27.9</v>
      </c>
      <c r="E448" t="s">
        <v>252</v>
      </c>
    </row>
    <row r="449" spans="1:7">
      <c r="A449" s="14" t="s">
        <v>25</v>
      </c>
      <c r="B449">
        <v>6853800</v>
      </c>
      <c r="C449" s="86">
        <v>43884</v>
      </c>
      <c r="D449">
        <v>28.6</v>
      </c>
      <c r="E449" t="s">
        <v>252</v>
      </c>
    </row>
    <row r="450" spans="1:7">
      <c r="A450" s="14" t="s">
        <v>25</v>
      </c>
      <c r="B450">
        <v>6853800</v>
      </c>
      <c r="C450" s="86">
        <v>43885</v>
      </c>
      <c r="D450">
        <v>29.9</v>
      </c>
      <c r="E450" t="s">
        <v>253</v>
      </c>
    </row>
    <row r="451" spans="1:7">
      <c r="A451" s="14" t="s">
        <v>25</v>
      </c>
      <c r="B451">
        <v>6853800</v>
      </c>
      <c r="C451" s="86">
        <v>43886</v>
      </c>
      <c r="D451">
        <v>29.5</v>
      </c>
      <c r="E451" t="s">
        <v>253</v>
      </c>
    </row>
    <row r="452" spans="1:7">
      <c r="A452" s="14" t="s">
        <v>25</v>
      </c>
      <c r="B452">
        <v>6853800</v>
      </c>
      <c r="C452" s="86">
        <v>43887</v>
      </c>
      <c r="D452">
        <v>28.2</v>
      </c>
      <c r="E452" t="s">
        <v>253</v>
      </c>
    </row>
    <row r="453" spans="1:7">
      <c r="A453" s="14" t="s">
        <v>25</v>
      </c>
      <c r="B453">
        <v>6853800</v>
      </c>
      <c r="C453" s="86">
        <v>43888</v>
      </c>
      <c r="D453">
        <v>27.4</v>
      </c>
      <c r="E453" t="s">
        <v>253</v>
      </c>
    </row>
    <row r="454" spans="1:7">
      <c r="A454" s="14" t="s">
        <v>25</v>
      </c>
      <c r="B454">
        <v>6853800</v>
      </c>
      <c r="C454" s="86">
        <v>43889</v>
      </c>
      <c r="D454">
        <v>27.2</v>
      </c>
      <c r="E454" t="s">
        <v>253</v>
      </c>
    </row>
    <row r="455" spans="1:7">
      <c r="A455" s="14" t="s">
        <v>25</v>
      </c>
      <c r="B455">
        <v>6853800</v>
      </c>
      <c r="C455" s="86">
        <v>43890</v>
      </c>
      <c r="D455">
        <v>27.6</v>
      </c>
      <c r="E455" t="s">
        <v>253</v>
      </c>
      <c r="G455">
        <f>AVERAGE(D427:D455)</f>
        <v>30.8448275862069</v>
      </c>
    </row>
    <row r="456" spans="1:7">
      <c r="A456" s="14" t="s">
        <v>25</v>
      </c>
      <c r="B456">
        <v>6853800</v>
      </c>
      <c r="C456" s="86">
        <v>43891</v>
      </c>
      <c r="D456">
        <v>27.7</v>
      </c>
      <c r="E456" t="s">
        <v>253</v>
      </c>
    </row>
    <row r="457" spans="1:7">
      <c r="A457" s="14" t="s">
        <v>25</v>
      </c>
      <c r="B457">
        <v>6853800</v>
      </c>
      <c r="C457" s="86">
        <v>43892</v>
      </c>
      <c r="D457">
        <v>27.2</v>
      </c>
      <c r="E457" t="s">
        <v>253</v>
      </c>
    </row>
    <row r="458" spans="1:7">
      <c r="A458" s="14" t="s">
        <v>25</v>
      </c>
      <c r="B458">
        <v>6853800</v>
      </c>
      <c r="C458" s="86">
        <v>43893</v>
      </c>
      <c r="D458">
        <v>27.5</v>
      </c>
      <c r="E458" t="s">
        <v>253</v>
      </c>
    </row>
    <row r="459" spans="1:7">
      <c r="A459" s="14" t="s">
        <v>25</v>
      </c>
      <c r="B459">
        <v>6853800</v>
      </c>
      <c r="C459" s="86">
        <v>43894</v>
      </c>
      <c r="D459">
        <v>27.5</v>
      </c>
      <c r="E459" t="s">
        <v>253</v>
      </c>
    </row>
    <row r="460" spans="1:7">
      <c r="A460" s="14" t="s">
        <v>25</v>
      </c>
      <c r="B460">
        <v>6853800</v>
      </c>
      <c r="C460" s="86">
        <v>43895</v>
      </c>
      <c r="D460">
        <v>26.9</v>
      </c>
      <c r="E460" t="s">
        <v>253</v>
      </c>
    </row>
    <row r="461" spans="1:7">
      <c r="A461" s="14" t="s">
        <v>25</v>
      </c>
      <c r="B461">
        <v>6853800</v>
      </c>
      <c r="C461" s="86">
        <v>43896</v>
      </c>
      <c r="D461">
        <v>25.7</v>
      </c>
      <c r="E461" t="s">
        <v>253</v>
      </c>
    </row>
    <row r="462" spans="1:7">
      <c r="A462" s="14" t="s">
        <v>25</v>
      </c>
      <c r="B462">
        <v>6853800</v>
      </c>
      <c r="C462" s="86">
        <v>43897</v>
      </c>
      <c r="D462">
        <v>25.5</v>
      </c>
      <c r="E462" t="s">
        <v>253</v>
      </c>
    </row>
    <row r="463" spans="1:7">
      <c r="A463" s="14" t="s">
        <v>25</v>
      </c>
      <c r="B463">
        <v>6853800</v>
      </c>
      <c r="C463" s="86">
        <v>43898</v>
      </c>
      <c r="D463">
        <v>25.4</v>
      </c>
      <c r="E463" t="s">
        <v>253</v>
      </c>
    </row>
    <row r="464" spans="1:7">
      <c r="A464" s="14" t="s">
        <v>25</v>
      </c>
      <c r="B464">
        <v>6853800</v>
      </c>
      <c r="C464" s="86">
        <v>43899</v>
      </c>
      <c r="D464">
        <v>26.8</v>
      </c>
      <c r="E464" t="s">
        <v>253</v>
      </c>
    </row>
    <row r="465" spans="1:5">
      <c r="A465" s="14" t="s">
        <v>25</v>
      </c>
      <c r="B465">
        <v>6853800</v>
      </c>
      <c r="C465" s="86">
        <v>43900</v>
      </c>
      <c r="D465">
        <v>27.3</v>
      </c>
      <c r="E465" t="s">
        <v>253</v>
      </c>
    </row>
    <row r="466" spans="1:5">
      <c r="A466" s="14" t="s">
        <v>25</v>
      </c>
      <c r="B466">
        <v>6853800</v>
      </c>
      <c r="C466" s="86">
        <v>43901</v>
      </c>
      <c r="D466">
        <v>28</v>
      </c>
      <c r="E466" t="s">
        <v>253</v>
      </c>
    </row>
    <row r="467" spans="1:5">
      <c r="A467" s="14" t="s">
        <v>25</v>
      </c>
      <c r="B467">
        <v>6853800</v>
      </c>
      <c r="C467" s="86">
        <v>43902</v>
      </c>
      <c r="D467">
        <v>28.3</v>
      </c>
      <c r="E467" t="s">
        <v>253</v>
      </c>
    </row>
    <row r="468" spans="1:5">
      <c r="A468" s="14" t="s">
        <v>25</v>
      </c>
      <c r="B468">
        <v>6853800</v>
      </c>
      <c r="C468" s="86">
        <v>43903</v>
      </c>
      <c r="D468">
        <v>27.2</v>
      </c>
      <c r="E468" t="s">
        <v>253</v>
      </c>
    </row>
    <row r="469" spans="1:5">
      <c r="A469" s="14" t="s">
        <v>25</v>
      </c>
      <c r="B469">
        <v>6853800</v>
      </c>
      <c r="C469" s="86">
        <v>43904</v>
      </c>
      <c r="D469">
        <v>27.9</v>
      </c>
      <c r="E469" t="s">
        <v>253</v>
      </c>
    </row>
    <row r="470" spans="1:5">
      <c r="A470" s="14" t="s">
        <v>25</v>
      </c>
      <c r="B470">
        <v>6853800</v>
      </c>
      <c r="C470" s="86">
        <v>43905</v>
      </c>
      <c r="D470">
        <v>27.7</v>
      </c>
      <c r="E470" t="s">
        <v>253</v>
      </c>
    </row>
    <row r="471" spans="1:5">
      <c r="A471" s="14" t="s">
        <v>25</v>
      </c>
      <c r="B471">
        <v>6853800</v>
      </c>
      <c r="C471" s="86">
        <v>43906</v>
      </c>
      <c r="D471">
        <v>28.2</v>
      </c>
      <c r="E471" t="s">
        <v>253</v>
      </c>
    </row>
    <row r="472" spans="1:5">
      <c r="A472" s="14" t="s">
        <v>25</v>
      </c>
      <c r="B472">
        <v>6853800</v>
      </c>
      <c r="C472" s="86">
        <v>43907</v>
      </c>
      <c r="D472">
        <v>28.8</v>
      </c>
      <c r="E472" t="s">
        <v>253</v>
      </c>
    </row>
    <row r="473" spans="1:5">
      <c r="A473" s="14" t="s">
        <v>25</v>
      </c>
      <c r="B473">
        <v>6853800</v>
      </c>
      <c r="C473" s="86">
        <v>43908</v>
      </c>
      <c r="D473">
        <v>29.6</v>
      </c>
      <c r="E473" t="s">
        <v>253</v>
      </c>
    </row>
    <row r="474" spans="1:5">
      <c r="A474" s="14" t="s">
        <v>25</v>
      </c>
      <c r="B474">
        <v>6853800</v>
      </c>
      <c r="C474" s="86">
        <v>43909</v>
      </c>
      <c r="D474">
        <v>30</v>
      </c>
      <c r="E474" t="s">
        <v>253</v>
      </c>
    </row>
    <row r="475" spans="1:5">
      <c r="A475" s="14" t="s">
        <v>25</v>
      </c>
      <c r="B475">
        <v>6853800</v>
      </c>
      <c r="C475" s="86">
        <v>43910</v>
      </c>
      <c r="D475">
        <v>28.6</v>
      </c>
      <c r="E475" t="s">
        <v>253</v>
      </c>
    </row>
    <row r="476" spans="1:5">
      <c r="A476" s="14" t="s">
        <v>25</v>
      </c>
      <c r="B476">
        <v>6853800</v>
      </c>
      <c r="C476" s="86">
        <v>43911</v>
      </c>
      <c r="D476">
        <v>27.1</v>
      </c>
      <c r="E476" t="s">
        <v>253</v>
      </c>
    </row>
    <row r="477" spans="1:5">
      <c r="A477" s="14" t="s">
        <v>25</v>
      </c>
      <c r="B477">
        <v>6853800</v>
      </c>
      <c r="C477" s="86">
        <v>43912</v>
      </c>
      <c r="D477">
        <v>26.9</v>
      </c>
      <c r="E477" t="s">
        <v>253</v>
      </c>
    </row>
    <row r="478" spans="1:5">
      <c r="A478" s="14" t="s">
        <v>25</v>
      </c>
      <c r="B478">
        <v>6853800</v>
      </c>
      <c r="C478" s="86">
        <v>43913</v>
      </c>
      <c r="D478">
        <v>27.1</v>
      </c>
      <c r="E478" t="s">
        <v>253</v>
      </c>
    </row>
    <row r="479" spans="1:5">
      <c r="A479" s="14" t="s">
        <v>25</v>
      </c>
      <c r="B479">
        <v>6853800</v>
      </c>
      <c r="C479" s="86">
        <v>43914</v>
      </c>
      <c r="D479">
        <v>27.2</v>
      </c>
      <c r="E479" t="s">
        <v>253</v>
      </c>
    </row>
    <row r="480" spans="1:5">
      <c r="A480" s="14" t="s">
        <v>25</v>
      </c>
      <c r="B480">
        <v>6853800</v>
      </c>
      <c r="C480" s="86">
        <v>43915</v>
      </c>
      <c r="D480">
        <v>26.9</v>
      </c>
      <c r="E480" t="s">
        <v>253</v>
      </c>
    </row>
    <row r="481" spans="1:7">
      <c r="A481" s="14" t="s">
        <v>25</v>
      </c>
      <c r="B481">
        <v>6853800</v>
      </c>
      <c r="C481" s="86">
        <v>43916</v>
      </c>
      <c r="D481">
        <v>26.5</v>
      </c>
      <c r="E481" t="s">
        <v>253</v>
      </c>
    </row>
    <row r="482" spans="1:7">
      <c r="A482" s="14" t="s">
        <v>25</v>
      </c>
      <c r="B482">
        <v>6853800</v>
      </c>
      <c r="C482" s="86">
        <v>43917</v>
      </c>
      <c r="D482">
        <v>26.2</v>
      </c>
      <c r="E482" t="s">
        <v>253</v>
      </c>
    </row>
    <row r="483" spans="1:7">
      <c r="A483" s="14" t="s">
        <v>25</v>
      </c>
      <c r="B483">
        <v>6853800</v>
      </c>
      <c r="C483" s="86">
        <v>43918</v>
      </c>
      <c r="D483">
        <v>26.2</v>
      </c>
      <c r="E483" t="s">
        <v>253</v>
      </c>
    </row>
    <row r="484" spans="1:7">
      <c r="A484" s="14" t="s">
        <v>25</v>
      </c>
      <c r="B484">
        <v>6853800</v>
      </c>
      <c r="C484" s="86">
        <v>43919</v>
      </c>
      <c r="D484">
        <v>25.5</v>
      </c>
      <c r="E484" t="s">
        <v>253</v>
      </c>
    </row>
    <row r="485" spans="1:7">
      <c r="A485" s="14" t="s">
        <v>25</v>
      </c>
      <c r="B485">
        <v>6853800</v>
      </c>
      <c r="C485" s="86">
        <v>43920</v>
      </c>
      <c r="D485">
        <v>24.6</v>
      </c>
      <c r="E485" t="s">
        <v>253</v>
      </c>
    </row>
    <row r="486" spans="1:7">
      <c r="A486" s="14" t="s">
        <v>25</v>
      </c>
      <c r="B486">
        <v>6853800</v>
      </c>
      <c r="C486" s="86">
        <v>43921</v>
      </c>
      <c r="D486">
        <v>23.9</v>
      </c>
      <c r="E486" t="s">
        <v>253</v>
      </c>
      <c r="G486">
        <f>AVERAGE(D456:D486)</f>
        <v>27.093548387096781</v>
      </c>
    </row>
    <row r="487" spans="1:7">
      <c r="A487" s="14" t="s">
        <v>25</v>
      </c>
      <c r="B487">
        <v>6853800</v>
      </c>
      <c r="C487" s="86">
        <v>43922</v>
      </c>
      <c r="D487">
        <v>23.8</v>
      </c>
      <c r="E487" t="s">
        <v>253</v>
      </c>
    </row>
    <row r="488" spans="1:7">
      <c r="A488" s="14" t="s">
        <v>25</v>
      </c>
      <c r="B488">
        <v>6853800</v>
      </c>
      <c r="C488" s="86">
        <v>43923</v>
      </c>
      <c r="D488">
        <v>23.6</v>
      </c>
      <c r="E488" t="s">
        <v>253</v>
      </c>
    </row>
    <row r="489" spans="1:7">
      <c r="A489" s="14" t="s">
        <v>25</v>
      </c>
      <c r="B489">
        <v>6853800</v>
      </c>
      <c r="C489" s="86">
        <v>43924</v>
      </c>
      <c r="D489">
        <v>23.3</v>
      </c>
      <c r="E489" t="s">
        <v>253</v>
      </c>
    </row>
    <row r="490" spans="1:7">
      <c r="A490" s="14" t="s">
        <v>25</v>
      </c>
      <c r="B490">
        <v>6853800</v>
      </c>
      <c r="C490" s="86">
        <v>43925</v>
      </c>
      <c r="D490">
        <v>23</v>
      </c>
      <c r="E490" t="s">
        <v>253</v>
      </c>
    </row>
    <row r="491" spans="1:7">
      <c r="A491" s="14" t="s">
        <v>25</v>
      </c>
      <c r="B491">
        <v>6853800</v>
      </c>
      <c r="C491" s="86">
        <v>43926</v>
      </c>
      <c r="D491">
        <v>23</v>
      </c>
      <c r="E491" t="s">
        <v>253</v>
      </c>
    </row>
    <row r="492" spans="1:7">
      <c r="A492" s="14" t="s">
        <v>25</v>
      </c>
      <c r="B492">
        <v>6853800</v>
      </c>
      <c r="C492" s="86">
        <v>43927</v>
      </c>
      <c r="D492">
        <v>23.3</v>
      </c>
      <c r="E492" t="s">
        <v>253</v>
      </c>
    </row>
    <row r="493" spans="1:7">
      <c r="A493" s="14" t="s">
        <v>25</v>
      </c>
      <c r="B493">
        <v>6853800</v>
      </c>
      <c r="C493" s="86">
        <v>43928</v>
      </c>
      <c r="D493">
        <v>23.4</v>
      </c>
      <c r="E493" t="s">
        <v>253</v>
      </c>
    </row>
    <row r="494" spans="1:7">
      <c r="A494" s="14" t="s">
        <v>25</v>
      </c>
      <c r="B494">
        <v>6853800</v>
      </c>
      <c r="C494" s="86">
        <v>43929</v>
      </c>
      <c r="D494">
        <v>23.4</v>
      </c>
      <c r="E494" t="s">
        <v>253</v>
      </c>
    </row>
    <row r="495" spans="1:7">
      <c r="A495" s="14" t="s">
        <v>25</v>
      </c>
      <c r="B495">
        <v>6853800</v>
      </c>
      <c r="C495" s="86">
        <v>43930</v>
      </c>
      <c r="D495">
        <v>22.6</v>
      </c>
      <c r="E495" t="s">
        <v>253</v>
      </c>
    </row>
    <row r="496" spans="1:7">
      <c r="A496" s="14" t="s">
        <v>25</v>
      </c>
      <c r="B496">
        <v>6853800</v>
      </c>
      <c r="C496" s="86">
        <v>43931</v>
      </c>
      <c r="D496">
        <v>22</v>
      </c>
      <c r="E496" t="s">
        <v>253</v>
      </c>
    </row>
    <row r="497" spans="1:5">
      <c r="A497" s="14" t="s">
        <v>25</v>
      </c>
      <c r="B497">
        <v>6853800</v>
      </c>
      <c r="C497" s="86">
        <v>43932</v>
      </c>
      <c r="D497">
        <v>22.3</v>
      </c>
      <c r="E497" t="s">
        <v>253</v>
      </c>
    </row>
    <row r="498" spans="1:5">
      <c r="A498" s="14" t="s">
        <v>25</v>
      </c>
      <c r="B498">
        <v>6853800</v>
      </c>
      <c r="C498" s="86">
        <v>43933</v>
      </c>
      <c r="D498">
        <v>22.2</v>
      </c>
      <c r="E498" t="s">
        <v>253</v>
      </c>
    </row>
    <row r="499" spans="1:5">
      <c r="A499" s="14" t="s">
        <v>25</v>
      </c>
      <c r="B499">
        <v>6853800</v>
      </c>
      <c r="C499" s="86">
        <v>43934</v>
      </c>
      <c r="D499">
        <v>21.5</v>
      </c>
      <c r="E499" t="s">
        <v>253</v>
      </c>
    </row>
    <row r="500" spans="1:5">
      <c r="A500" s="14" t="s">
        <v>25</v>
      </c>
      <c r="B500">
        <v>6853800</v>
      </c>
      <c r="C500" s="86">
        <v>43935</v>
      </c>
      <c r="D500">
        <v>21.3</v>
      </c>
      <c r="E500" t="s">
        <v>253</v>
      </c>
    </row>
    <row r="501" spans="1:5">
      <c r="A501" s="14" t="s">
        <v>25</v>
      </c>
      <c r="B501">
        <v>6853800</v>
      </c>
      <c r="C501" s="86">
        <v>43936</v>
      </c>
      <c r="D501">
        <v>21.4</v>
      </c>
      <c r="E501" t="s">
        <v>253</v>
      </c>
    </row>
    <row r="502" spans="1:5">
      <c r="A502" s="14" t="s">
        <v>25</v>
      </c>
      <c r="B502">
        <v>6853800</v>
      </c>
      <c r="C502" s="86">
        <v>43937</v>
      </c>
      <c r="D502">
        <v>21.8</v>
      </c>
      <c r="E502" t="s">
        <v>253</v>
      </c>
    </row>
    <row r="503" spans="1:5">
      <c r="A503" s="14" t="s">
        <v>25</v>
      </c>
      <c r="B503">
        <v>6853800</v>
      </c>
      <c r="C503" s="86">
        <v>43938</v>
      </c>
      <c r="D503">
        <v>22.2</v>
      </c>
      <c r="E503" t="s">
        <v>253</v>
      </c>
    </row>
    <row r="504" spans="1:5">
      <c r="A504" s="14" t="s">
        <v>25</v>
      </c>
      <c r="B504">
        <v>6853800</v>
      </c>
      <c r="C504" s="86">
        <v>43939</v>
      </c>
      <c r="D504">
        <v>22.3</v>
      </c>
      <c r="E504" t="s">
        <v>253</v>
      </c>
    </row>
    <row r="505" spans="1:5">
      <c r="A505" s="14" t="s">
        <v>25</v>
      </c>
      <c r="B505">
        <v>6853800</v>
      </c>
      <c r="C505" s="86">
        <v>43940</v>
      </c>
      <c r="D505">
        <v>22.3</v>
      </c>
      <c r="E505" t="s">
        <v>253</v>
      </c>
    </row>
    <row r="506" spans="1:5">
      <c r="A506" s="14" t="s">
        <v>25</v>
      </c>
      <c r="B506">
        <v>6853800</v>
      </c>
      <c r="C506" s="86">
        <v>43941</v>
      </c>
      <c r="D506">
        <v>22.5</v>
      </c>
      <c r="E506" t="s">
        <v>253</v>
      </c>
    </row>
    <row r="507" spans="1:5">
      <c r="A507" s="14" t="s">
        <v>25</v>
      </c>
      <c r="B507">
        <v>6853800</v>
      </c>
      <c r="C507" s="86">
        <v>43942</v>
      </c>
      <c r="D507">
        <v>22.2</v>
      </c>
      <c r="E507" t="s">
        <v>253</v>
      </c>
    </row>
    <row r="508" spans="1:5">
      <c r="A508" s="14" t="s">
        <v>25</v>
      </c>
      <c r="B508">
        <v>6853800</v>
      </c>
      <c r="C508" s="86">
        <v>43943</v>
      </c>
      <c r="D508">
        <v>22.2</v>
      </c>
      <c r="E508" t="s">
        <v>253</v>
      </c>
    </row>
    <row r="509" spans="1:5">
      <c r="A509" s="14" t="s">
        <v>25</v>
      </c>
      <c r="B509">
        <v>6853800</v>
      </c>
      <c r="C509" s="86">
        <v>43944</v>
      </c>
      <c r="D509">
        <v>22.4</v>
      </c>
      <c r="E509" t="s">
        <v>253</v>
      </c>
    </row>
    <row r="510" spans="1:5">
      <c r="A510" s="14" t="s">
        <v>25</v>
      </c>
      <c r="B510">
        <v>6853800</v>
      </c>
      <c r="C510" s="86">
        <v>43945</v>
      </c>
      <c r="D510">
        <v>22.3</v>
      </c>
      <c r="E510" t="s">
        <v>253</v>
      </c>
    </row>
    <row r="511" spans="1:5">
      <c r="A511" s="14" t="s">
        <v>25</v>
      </c>
      <c r="B511">
        <v>6853800</v>
      </c>
      <c r="C511" s="86">
        <v>43946</v>
      </c>
      <c r="D511">
        <v>22.4</v>
      </c>
      <c r="E511" t="s">
        <v>253</v>
      </c>
    </row>
    <row r="512" spans="1:5">
      <c r="A512" s="14" t="s">
        <v>25</v>
      </c>
      <c r="B512">
        <v>6853800</v>
      </c>
      <c r="C512" s="86">
        <v>43947</v>
      </c>
      <c r="D512">
        <v>21.9</v>
      </c>
      <c r="E512" t="s">
        <v>253</v>
      </c>
    </row>
    <row r="513" spans="1:7">
      <c r="A513" s="14" t="s">
        <v>25</v>
      </c>
      <c r="B513">
        <v>6853800</v>
      </c>
      <c r="C513" s="86">
        <v>43948</v>
      </c>
      <c r="D513">
        <v>21.6</v>
      </c>
      <c r="E513" t="s">
        <v>253</v>
      </c>
    </row>
    <row r="514" spans="1:7">
      <c r="A514" s="14" t="s">
        <v>25</v>
      </c>
      <c r="B514">
        <v>6853800</v>
      </c>
      <c r="C514" s="86">
        <v>43949</v>
      </c>
      <c r="D514">
        <v>21.4</v>
      </c>
      <c r="E514" t="s">
        <v>253</v>
      </c>
    </row>
    <row r="515" spans="1:7">
      <c r="A515" s="14" t="s">
        <v>25</v>
      </c>
      <c r="B515">
        <v>6853800</v>
      </c>
      <c r="C515" s="86">
        <v>43950</v>
      </c>
      <c r="D515">
        <v>20.9</v>
      </c>
      <c r="E515" t="s">
        <v>253</v>
      </c>
    </row>
    <row r="516" spans="1:7">
      <c r="A516" s="14" t="s">
        <v>25</v>
      </c>
      <c r="B516">
        <v>6853800</v>
      </c>
      <c r="C516" s="86">
        <v>43951</v>
      </c>
      <c r="D516">
        <v>20.399999999999999</v>
      </c>
      <c r="E516" t="s">
        <v>253</v>
      </c>
      <c r="G516">
        <f>AVERAGE(D487:D516)</f>
        <v>22.296666666666663</v>
      </c>
    </row>
    <row r="517" spans="1:7">
      <c r="A517" s="14" t="s">
        <v>25</v>
      </c>
      <c r="B517">
        <v>6853800</v>
      </c>
      <c r="C517" s="86">
        <v>43952</v>
      </c>
      <c r="D517">
        <v>20.3</v>
      </c>
      <c r="E517" t="s">
        <v>253</v>
      </c>
    </row>
    <row r="518" spans="1:7">
      <c r="A518" s="14" t="s">
        <v>25</v>
      </c>
      <c r="B518">
        <v>6853800</v>
      </c>
      <c r="C518" s="86">
        <v>43953</v>
      </c>
      <c r="D518">
        <v>19.8</v>
      </c>
      <c r="E518" t="s">
        <v>253</v>
      </c>
    </row>
    <row r="519" spans="1:7">
      <c r="A519" s="14" t="s">
        <v>25</v>
      </c>
      <c r="B519">
        <v>6853800</v>
      </c>
      <c r="C519" s="86">
        <v>43954</v>
      </c>
      <c r="D519">
        <v>19.600000000000001</v>
      </c>
      <c r="E519" t="s">
        <v>253</v>
      </c>
    </row>
    <row r="520" spans="1:7">
      <c r="A520" s="14" t="s">
        <v>25</v>
      </c>
      <c r="B520">
        <v>6853800</v>
      </c>
      <c r="C520" s="86">
        <v>43955</v>
      </c>
      <c r="D520">
        <v>21.2</v>
      </c>
      <c r="E520" t="s">
        <v>253</v>
      </c>
    </row>
    <row r="521" spans="1:7">
      <c r="A521" s="14" t="s">
        <v>25</v>
      </c>
      <c r="B521">
        <v>6853800</v>
      </c>
      <c r="C521" s="86">
        <v>43956</v>
      </c>
      <c r="D521">
        <v>21.1</v>
      </c>
      <c r="E521" t="s">
        <v>253</v>
      </c>
    </row>
    <row r="522" spans="1:7">
      <c r="A522" s="14" t="s">
        <v>25</v>
      </c>
      <c r="B522">
        <v>6853800</v>
      </c>
      <c r="C522" s="86">
        <v>43957</v>
      </c>
      <c r="D522">
        <v>20.3</v>
      </c>
      <c r="E522" t="s">
        <v>253</v>
      </c>
    </row>
    <row r="523" spans="1:7">
      <c r="A523" s="14" t="s">
        <v>25</v>
      </c>
      <c r="B523">
        <v>6853800</v>
      </c>
      <c r="C523" s="86">
        <v>43958</v>
      </c>
      <c r="D523">
        <v>20.5</v>
      </c>
      <c r="E523" t="s">
        <v>253</v>
      </c>
    </row>
    <row r="524" spans="1:7">
      <c r="A524" s="14" t="s">
        <v>25</v>
      </c>
      <c r="B524">
        <v>6853800</v>
      </c>
      <c r="C524" s="86">
        <v>43959</v>
      </c>
      <c r="D524">
        <v>20.399999999999999</v>
      </c>
      <c r="E524" t="s">
        <v>253</v>
      </c>
    </row>
    <row r="525" spans="1:7">
      <c r="A525" s="14" t="s">
        <v>25</v>
      </c>
      <c r="B525">
        <v>6853800</v>
      </c>
      <c r="C525" s="86">
        <v>43960</v>
      </c>
      <c r="D525">
        <v>19.3</v>
      </c>
      <c r="E525" t="s">
        <v>253</v>
      </c>
    </row>
    <row r="526" spans="1:7">
      <c r="A526" s="14" t="s">
        <v>25</v>
      </c>
      <c r="B526">
        <v>6853800</v>
      </c>
      <c r="C526" s="86">
        <v>43961</v>
      </c>
      <c r="D526">
        <v>18.5</v>
      </c>
      <c r="E526" t="s">
        <v>253</v>
      </c>
    </row>
    <row r="527" spans="1:7">
      <c r="A527" s="14" t="s">
        <v>25</v>
      </c>
      <c r="B527">
        <v>6853800</v>
      </c>
      <c r="C527" s="86">
        <v>43962</v>
      </c>
      <c r="D527">
        <v>18.100000000000001</v>
      </c>
      <c r="E527" t="s">
        <v>253</v>
      </c>
    </row>
    <row r="528" spans="1:7">
      <c r="A528" s="14" t="s">
        <v>25</v>
      </c>
      <c r="B528">
        <v>6853800</v>
      </c>
      <c r="C528" s="86">
        <v>43963</v>
      </c>
      <c r="D528">
        <v>18.3</v>
      </c>
      <c r="E528" t="s">
        <v>253</v>
      </c>
    </row>
    <row r="529" spans="1:5">
      <c r="A529" s="14" t="s">
        <v>25</v>
      </c>
      <c r="B529">
        <v>6853800</v>
      </c>
      <c r="C529" s="86">
        <v>43964</v>
      </c>
      <c r="D529">
        <v>18.5</v>
      </c>
      <c r="E529" t="s">
        <v>253</v>
      </c>
    </row>
    <row r="530" spans="1:5">
      <c r="A530" s="14" t="s">
        <v>25</v>
      </c>
      <c r="B530">
        <v>6853800</v>
      </c>
      <c r="C530" s="86">
        <v>43965</v>
      </c>
      <c r="D530">
        <v>19.3</v>
      </c>
      <c r="E530" t="s">
        <v>253</v>
      </c>
    </row>
    <row r="531" spans="1:5">
      <c r="A531" s="14" t="s">
        <v>25</v>
      </c>
      <c r="B531">
        <v>6853800</v>
      </c>
      <c r="C531" s="86">
        <v>43966</v>
      </c>
      <c r="D531">
        <v>19.2</v>
      </c>
      <c r="E531" t="s">
        <v>253</v>
      </c>
    </row>
    <row r="532" spans="1:5">
      <c r="A532" s="14" t="s">
        <v>25</v>
      </c>
      <c r="B532">
        <v>6853800</v>
      </c>
      <c r="C532" s="86">
        <v>43967</v>
      </c>
      <c r="D532">
        <v>19</v>
      </c>
      <c r="E532" t="s">
        <v>253</v>
      </c>
    </row>
    <row r="533" spans="1:5">
      <c r="A533" s="14" t="s">
        <v>25</v>
      </c>
      <c r="B533">
        <v>6853800</v>
      </c>
      <c r="C533" s="86">
        <v>43968</v>
      </c>
      <c r="D533">
        <v>18.399999999999999</v>
      </c>
      <c r="E533" t="s">
        <v>253</v>
      </c>
    </row>
    <row r="534" spans="1:5">
      <c r="A534" s="14" t="s">
        <v>25</v>
      </c>
      <c r="B534">
        <v>6853800</v>
      </c>
      <c r="C534" s="86">
        <v>43969</v>
      </c>
      <c r="D534">
        <v>17.600000000000001</v>
      </c>
      <c r="E534" t="s">
        <v>253</v>
      </c>
    </row>
    <row r="535" spans="1:5">
      <c r="A535" s="14" t="s">
        <v>25</v>
      </c>
      <c r="B535">
        <v>6853800</v>
      </c>
      <c r="C535" s="86">
        <v>43970</v>
      </c>
      <c r="D535">
        <v>16.899999999999999</v>
      </c>
      <c r="E535" t="s">
        <v>253</v>
      </c>
    </row>
    <row r="536" spans="1:5">
      <c r="A536" s="14" t="s">
        <v>25</v>
      </c>
      <c r="B536">
        <v>6853800</v>
      </c>
      <c r="C536" s="86">
        <v>43971</v>
      </c>
      <c r="D536">
        <v>16.399999999999999</v>
      </c>
      <c r="E536" t="s">
        <v>253</v>
      </c>
    </row>
    <row r="537" spans="1:5">
      <c r="A537" s="14" t="s">
        <v>25</v>
      </c>
      <c r="B537">
        <v>6853800</v>
      </c>
      <c r="C537" s="86">
        <v>43972</v>
      </c>
      <c r="D537">
        <v>15.8</v>
      </c>
      <c r="E537" t="s">
        <v>253</v>
      </c>
    </row>
    <row r="538" spans="1:5">
      <c r="A538" s="14" t="s">
        <v>25</v>
      </c>
      <c r="B538">
        <v>6853800</v>
      </c>
      <c r="C538" s="86">
        <v>43973</v>
      </c>
      <c r="D538">
        <v>17</v>
      </c>
      <c r="E538" t="s">
        <v>253</v>
      </c>
    </row>
    <row r="539" spans="1:5">
      <c r="A539" s="14" t="s">
        <v>25</v>
      </c>
      <c r="B539">
        <v>6853800</v>
      </c>
      <c r="C539" s="86">
        <v>43974</v>
      </c>
      <c r="D539">
        <v>18.7</v>
      </c>
      <c r="E539" t="s">
        <v>253</v>
      </c>
    </row>
    <row r="540" spans="1:5">
      <c r="A540" s="14" t="s">
        <v>25</v>
      </c>
      <c r="B540">
        <v>6853800</v>
      </c>
      <c r="C540" s="86">
        <v>43975</v>
      </c>
      <c r="D540">
        <v>26.6</v>
      </c>
      <c r="E540" t="s">
        <v>253</v>
      </c>
    </row>
    <row r="541" spans="1:5">
      <c r="A541" s="14" t="s">
        <v>25</v>
      </c>
      <c r="B541">
        <v>6853800</v>
      </c>
      <c r="C541" s="86">
        <v>43976</v>
      </c>
      <c r="D541">
        <v>37.1</v>
      </c>
      <c r="E541" t="s">
        <v>253</v>
      </c>
    </row>
    <row r="542" spans="1:5">
      <c r="A542" s="14" t="s">
        <v>25</v>
      </c>
      <c r="B542">
        <v>6853800</v>
      </c>
      <c r="C542" s="86">
        <v>43977</v>
      </c>
      <c r="D542">
        <v>29.9</v>
      </c>
      <c r="E542" t="s">
        <v>253</v>
      </c>
    </row>
    <row r="543" spans="1:5">
      <c r="A543" s="14" t="s">
        <v>25</v>
      </c>
      <c r="B543">
        <v>6853800</v>
      </c>
      <c r="C543" s="86">
        <v>43978</v>
      </c>
      <c r="D543">
        <v>47.1</v>
      </c>
      <c r="E543" t="s">
        <v>253</v>
      </c>
    </row>
    <row r="544" spans="1:5">
      <c r="A544" s="14" t="s">
        <v>25</v>
      </c>
      <c r="B544">
        <v>6853800</v>
      </c>
      <c r="C544" s="86">
        <v>43979</v>
      </c>
      <c r="D544">
        <v>31.2</v>
      </c>
      <c r="E544" t="s">
        <v>253</v>
      </c>
    </row>
    <row r="545" spans="1:7">
      <c r="A545" s="14" t="s">
        <v>25</v>
      </c>
      <c r="B545">
        <v>6853800</v>
      </c>
      <c r="C545" s="86">
        <v>43980</v>
      </c>
      <c r="D545">
        <v>24.5</v>
      </c>
      <c r="E545" t="s">
        <v>253</v>
      </c>
    </row>
    <row r="546" spans="1:7">
      <c r="A546" s="14" t="s">
        <v>25</v>
      </c>
      <c r="B546">
        <v>6853800</v>
      </c>
      <c r="C546" s="86">
        <v>43981</v>
      </c>
      <c r="D546">
        <v>21.3</v>
      </c>
      <c r="E546" t="s">
        <v>253</v>
      </c>
    </row>
    <row r="547" spans="1:7">
      <c r="A547" s="14" t="s">
        <v>25</v>
      </c>
      <c r="B547">
        <v>6853800</v>
      </c>
      <c r="C547" s="86">
        <v>43982</v>
      </c>
      <c r="D547">
        <v>19.3</v>
      </c>
      <c r="E547" t="s">
        <v>253</v>
      </c>
      <c r="G547">
        <f>AVERAGE(D517:D547)</f>
        <v>21.651612903225807</v>
      </c>
    </row>
    <row r="548" spans="1:7">
      <c r="A548" s="14" t="s">
        <v>25</v>
      </c>
      <c r="B548">
        <v>6853800</v>
      </c>
      <c r="C548" s="86">
        <v>43983</v>
      </c>
      <c r="D548">
        <v>17.899999999999999</v>
      </c>
      <c r="E548" t="s">
        <v>253</v>
      </c>
    </row>
    <row r="549" spans="1:7">
      <c r="A549" s="14" t="s">
        <v>25</v>
      </c>
      <c r="B549">
        <v>6853800</v>
      </c>
      <c r="C549" s="86">
        <v>43984</v>
      </c>
      <c r="D549">
        <v>16.7</v>
      </c>
      <c r="E549" t="s">
        <v>253</v>
      </c>
    </row>
    <row r="550" spans="1:7">
      <c r="A550" s="14" t="s">
        <v>25</v>
      </c>
      <c r="B550">
        <v>6853800</v>
      </c>
      <c r="C550" s="86">
        <v>43985</v>
      </c>
      <c r="D550">
        <v>15.7</v>
      </c>
      <c r="E550" t="s">
        <v>253</v>
      </c>
    </row>
    <row r="551" spans="1:7">
      <c r="A551" s="14" t="s">
        <v>25</v>
      </c>
      <c r="B551">
        <v>6853800</v>
      </c>
      <c r="C551" s="86">
        <v>43986</v>
      </c>
      <c r="D551">
        <v>14.7</v>
      </c>
      <c r="E551" t="s">
        <v>253</v>
      </c>
    </row>
    <row r="552" spans="1:7">
      <c r="A552" s="14" t="s">
        <v>25</v>
      </c>
      <c r="B552">
        <v>6853800</v>
      </c>
      <c r="C552" s="86">
        <v>43987</v>
      </c>
      <c r="D552">
        <v>13.5</v>
      </c>
      <c r="E552" t="s">
        <v>253</v>
      </c>
    </row>
    <row r="553" spans="1:7">
      <c r="A553" s="14" t="s">
        <v>25</v>
      </c>
      <c r="B553">
        <v>6853800</v>
      </c>
      <c r="C553" s="86">
        <v>43988</v>
      </c>
      <c r="D553">
        <v>12.8</v>
      </c>
      <c r="E553" t="s">
        <v>253</v>
      </c>
    </row>
    <row r="554" spans="1:7">
      <c r="A554" s="14" t="s">
        <v>25</v>
      </c>
      <c r="B554">
        <v>6853800</v>
      </c>
      <c r="C554" s="86">
        <v>43989</v>
      </c>
      <c r="D554">
        <v>11.7</v>
      </c>
      <c r="E554" t="s">
        <v>253</v>
      </c>
    </row>
    <row r="555" spans="1:7">
      <c r="A555" s="14" t="s">
        <v>25</v>
      </c>
      <c r="B555">
        <v>6853800</v>
      </c>
      <c r="C555" s="86">
        <v>43990</v>
      </c>
      <c r="D555">
        <v>10.6</v>
      </c>
      <c r="E555" t="s">
        <v>253</v>
      </c>
    </row>
    <row r="556" spans="1:7">
      <c r="A556" s="14" t="s">
        <v>25</v>
      </c>
      <c r="B556">
        <v>6853800</v>
      </c>
      <c r="C556" s="86">
        <v>43991</v>
      </c>
      <c r="D556">
        <v>9.8800000000000008</v>
      </c>
      <c r="E556" t="s">
        <v>253</v>
      </c>
    </row>
    <row r="557" spans="1:7">
      <c r="A557" s="14" t="s">
        <v>25</v>
      </c>
      <c r="B557">
        <v>6853800</v>
      </c>
      <c r="C557" s="86">
        <v>43992</v>
      </c>
      <c r="D557">
        <v>11.8</v>
      </c>
      <c r="E557" t="s">
        <v>253</v>
      </c>
    </row>
    <row r="558" spans="1:7">
      <c r="A558" s="14" t="s">
        <v>25</v>
      </c>
      <c r="B558">
        <v>6853800</v>
      </c>
      <c r="C558" s="86">
        <v>43993</v>
      </c>
      <c r="D558">
        <v>11.3</v>
      </c>
      <c r="E558" t="s">
        <v>253</v>
      </c>
    </row>
    <row r="559" spans="1:7">
      <c r="A559" s="14" t="s">
        <v>25</v>
      </c>
      <c r="B559">
        <v>6853800</v>
      </c>
      <c r="C559" s="86">
        <v>43994</v>
      </c>
      <c r="D559">
        <v>10.1</v>
      </c>
      <c r="E559" t="s">
        <v>253</v>
      </c>
    </row>
    <row r="560" spans="1:7">
      <c r="A560" s="14" t="s">
        <v>25</v>
      </c>
      <c r="B560">
        <v>6853800</v>
      </c>
      <c r="C560" s="86">
        <v>43995</v>
      </c>
      <c r="D560">
        <v>9.66</v>
      </c>
      <c r="E560" t="s">
        <v>253</v>
      </c>
    </row>
    <row r="561" spans="1:5">
      <c r="A561" s="14" t="s">
        <v>25</v>
      </c>
      <c r="B561">
        <v>6853800</v>
      </c>
      <c r="C561" s="86">
        <v>43996</v>
      </c>
      <c r="D561">
        <v>8.86</v>
      </c>
      <c r="E561" t="s">
        <v>253</v>
      </c>
    </row>
    <row r="562" spans="1:5">
      <c r="A562" s="14" t="s">
        <v>25</v>
      </c>
      <c r="B562">
        <v>6853800</v>
      </c>
      <c r="C562" s="86">
        <v>43997</v>
      </c>
      <c r="D562">
        <v>7.98</v>
      </c>
      <c r="E562" t="s">
        <v>253</v>
      </c>
    </row>
    <row r="563" spans="1:5">
      <c r="A563" s="14" t="s">
        <v>25</v>
      </c>
      <c r="B563">
        <v>6853800</v>
      </c>
      <c r="C563" s="86">
        <v>43998</v>
      </c>
      <c r="D563">
        <v>7.03</v>
      </c>
      <c r="E563" t="s">
        <v>253</v>
      </c>
    </row>
    <row r="564" spans="1:5">
      <c r="A564" s="14" t="s">
        <v>25</v>
      </c>
      <c r="B564">
        <v>6853800</v>
      </c>
      <c r="C564" s="86">
        <v>43999</v>
      </c>
      <c r="D564">
        <v>6.73</v>
      </c>
      <c r="E564" t="s">
        <v>253</v>
      </c>
    </row>
    <row r="565" spans="1:5">
      <c r="A565" s="14" t="s">
        <v>25</v>
      </c>
      <c r="B565">
        <v>6853800</v>
      </c>
      <c r="C565" s="86">
        <v>44000</v>
      </c>
      <c r="D565">
        <v>6.21</v>
      </c>
      <c r="E565" t="s">
        <v>253</v>
      </c>
    </row>
    <row r="566" spans="1:5">
      <c r="A566" s="14" t="s">
        <v>25</v>
      </c>
      <c r="B566">
        <v>6853800</v>
      </c>
      <c r="C566" s="86">
        <v>44001</v>
      </c>
      <c r="D566">
        <v>6.27</v>
      </c>
      <c r="E566" t="s">
        <v>253</v>
      </c>
    </row>
    <row r="567" spans="1:5">
      <c r="A567" s="14" t="s">
        <v>25</v>
      </c>
      <c r="B567">
        <v>6853800</v>
      </c>
      <c r="C567" s="86">
        <v>44002</v>
      </c>
      <c r="D567">
        <v>7.26</v>
      </c>
      <c r="E567" t="s">
        <v>253</v>
      </c>
    </row>
    <row r="568" spans="1:5">
      <c r="A568" s="14" t="s">
        <v>25</v>
      </c>
      <c r="B568">
        <v>6853800</v>
      </c>
      <c r="C568" s="86">
        <v>44003</v>
      </c>
      <c r="D568">
        <v>9.19</v>
      </c>
      <c r="E568" t="s">
        <v>253</v>
      </c>
    </row>
    <row r="569" spans="1:5">
      <c r="A569" s="14" t="s">
        <v>25</v>
      </c>
      <c r="B569">
        <v>6853800</v>
      </c>
      <c r="C569" s="86">
        <v>44004</v>
      </c>
      <c r="D569">
        <v>13.5</v>
      </c>
      <c r="E569" t="s">
        <v>253</v>
      </c>
    </row>
    <row r="570" spans="1:5">
      <c r="A570" s="14" t="s">
        <v>25</v>
      </c>
      <c r="B570">
        <v>6853800</v>
      </c>
      <c r="C570" s="86">
        <v>44005</v>
      </c>
      <c r="D570">
        <v>10.5</v>
      </c>
      <c r="E570" t="s">
        <v>253</v>
      </c>
    </row>
    <row r="571" spans="1:5">
      <c r="A571" s="14" t="s">
        <v>25</v>
      </c>
      <c r="B571">
        <v>6853800</v>
      </c>
      <c r="C571" s="86">
        <v>44006</v>
      </c>
      <c r="D571">
        <v>8.2899999999999991</v>
      </c>
      <c r="E571" t="s">
        <v>253</v>
      </c>
    </row>
    <row r="572" spans="1:5">
      <c r="A572" s="14" t="s">
        <v>25</v>
      </c>
      <c r="B572">
        <v>6853800</v>
      </c>
      <c r="C572" s="86">
        <v>44007</v>
      </c>
      <c r="D572">
        <v>7.29</v>
      </c>
      <c r="E572" t="s">
        <v>253</v>
      </c>
    </row>
    <row r="573" spans="1:5">
      <c r="A573" s="14" t="s">
        <v>25</v>
      </c>
      <c r="B573">
        <v>6853800</v>
      </c>
      <c r="C573" s="86">
        <v>44008</v>
      </c>
      <c r="D573">
        <v>6.55</v>
      </c>
      <c r="E573" t="s">
        <v>253</v>
      </c>
    </row>
    <row r="574" spans="1:5">
      <c r="A574" s="14" t="s">
        <v>25</v>
      </c>
      <c r="B574">
        <v>6853800</v>
      </c>
      <c r="C574" s="86">
        <v>44009</v>
      </c>
      <c r="D574">
        <v>13.1</v>
      </c>
      <c r="E574" t="s">
        <v>253</v>
      </c>
    </row>
    <row r="575" spans="1:5">
      <c r="A575" s="14" t="s">
        <v>25</v>
      </c>
      <c r="B575">
        <v>6853800</v>
      </c>
      <c r="C575" s="86">
        <v>44010</v>
      </c>
      <c r="D575">
        <v>9.86</v>
      </c>
      <c r="E575" t="s">
        <v>253</v>
      </c>
    </row>
    <row r="576" spans="1:5">
      <c r="A576" s="14" t="s">
        <v>25</v>
      </c>
      <c r="B576">
        <v>6853800</v>
      </c>
      <c r="C576" s="86">
        <v>44011</v>
      </c>
      <c r="D576">
        <v>8.4600000000000009</v>
      </c>
      <c r="E576" t="s">
        <v>253</v>
      </c>
    </row>
    <row r="577" spans="1:7">
      <c r="A577" s="14" t="s">
        <v>25</v>
      </c>
      <c r="B577">
        <v>6853800</v>
      </c>
      <c r="C577" s="86">
        <v>44012</v>
      </c>
      <c r="D577">
        <v>8.4600000000000009</v>
      </c>
      <c r="E577" t="s">
        <v>253</v>
      </c>
      <c r="G577">
        <f>AVERAGE(D548:D577)</f>
        <v>10.395999999999999</v>
      </c>
    </row>
    <row r="578" spans="1:7">
      <c r="A578" s="14" t="s">
        <v>25</v>
      </c>
      <c r="B578">
        <v>6853800</v>
      </c>
      <c r="C578" s="86">
        <v>44013</v>
      </c>
      <c r="D578">
        <v>7.43</v>
      </c>
      <c r="E578" t="s">
        <v>253</v>
      </c>
    </row>
    <row r="579" spans="1:7">
      <c r="A579" s="14" t="s">
        <v>25</v>
      </c>
      <c r="B579">
        <v>6853800</v>
      </c>
      <c r="C579" s="86">
        <v>44014</v>
      </c>
      <c r="D579">
        <v>5.74</v>
      </c>
      <c r="E579" t="s">
        <v>253</v>
      </c>
    </row>
    <row r="580" spans="1:7">
      <c r="A580" s="14" t="s">
        <v>25</v>
      </c>
      <c r="B580">
        <v>6853800</v>
      </c>
      <c r="C580" s="86">
        <v>44015</v>
      </c>
      <c r="D580">
        <v>6.36</v>
      </c>
      <c r="E580" t="s">
        <v>253</v>
      </c>
    </row>
    <row r="581" spans="1:7">
      <c r="A581" s="14" t="s">
        <v>25</v>
      </c>
      <c r="B581">
        <v>6853800</v>
      </c>
      <c r="C581" s="86">
        <v>44016</v>
      </c>
      <c r="D581">
        <v>6.27</v>
      </c>
      <c r="E581" t="s">
        <v>253</v>
      </c>
    </row>
    <row r="582" spans="1:7">
      <c r="A582" s="14" t="s">
        <v>25</v>
      </c>
      <c r="B582">
        <v>6853800</v>
      </c>
      <c r="C582" s="86">
        <v>44017</v>
      </c>
      <c r="D582">
        <v>5.48</v>
      </c>
      <c r="E582" t="s">
        <v>253</v>
      </c>
    </row>
    <row r="583" spans="1:7">
      <c r="A583" s="14" t="s">
        <v>25</v>
      </c>
      <c r="B583">
        <v>6853800</v>
      </c>
      <c r="C583" s="86">
        <v>44018</v>
      </c>
      <c r="D583">
        <v>5.0199999999999996</v>
      </c>
      <c r="E583" t="s">
        <v>253</v>
      </c>
    </row>
    <row r="584" spans="1:7">
      <c r="A584" s="14" t="s">
        <v>25</v>
      </c>
      <c r="B584">
        <v>6853800</v>
      </c>
      <c r="C584" s="86">
        <v>44019</v>
      </c>
      <c r="D584">
        <v>4.78</v>
      </c>
      <c r="E584" t="s">
        <v>253</v>
      </c>
    </row>
    <row r="585" spans="1:7">
      <c r="A585" s="14" t="s">
        <v>25</v>
      </c>
      <c r="B585">
        <v>6853800</v>
      </c>
      <c r="C585" s="86">
        <v>44020</v>
      </c>
      <c r="D585">
        <v>4.47</v>
      </c>
      <c r="E585" t="s">
        <v>253</v>
      </c>
    </row>
    <row r="586" spans="1:7">
      <c r="A586" s="14" t="s">
        <v>25</v>
      </c>
      <c r="B586">
        <v>6853800</v>
      </c>
      <c r="C586" s="86">
        <v>44021</v>
      </c>
      <c r="D586">
        <v>9.48</v>
      </c>
      <c r="E586" t="s">
        <v>253</v>
      </c>
    </row>
    <row r="587" spans="1:7">
      <c r="A587" s="14" t="s">
        <v>25</v>
      </c>
      <c r="B587">
        <v>6853800</v>
      </c>
      <c r="C587" s="86">
        <v>44022</v>
      </c>
      <c r="D587">
        <v>12</v>
      </c>
      <c r="E587" t="s">
        <v>253</v>
      </c>
    </row>
    <row r="588" spans="1:7">
      <c r="A588" s="14" t="s">
        <v>25</v>
      </c>
      <c r="B588">
        <v>6853800</v>
      </c>
      <c r="C588" s="86">
        <v>44023</v>
      </c>
      <c r="D588">
        <v>18</v>
      </c>
      <c r="E588" t="s">
        <v>253</v>
      </c>
    </row>
    <row r="589" spans="1:7">
      <c r="A589" s="14" t="s">
        <v>25</v>
      </c>
      <c r="B589">
        <v>6853800</v>
      </c>
      <c r="C589" s="86">
        <v>44024</v>
      </c>
      <c r="D589">
        <v>11.5</v>
      </c>
      <c r="E589" t="s">
        <v>253</v>
      </c>
    </row>
    <row r="590" spans="1:7">
      <c r="A590" s="14" t="s">
        <v>25</v>
      </c>
      <c r="B590">
        <v>6853800</v>
      </c>
      <c r="C590" s="86">
        <v>44025</v>
      </c>
      <c r="D590">
        <v>13.3</v>
      </c>
      <c r="E590" t="s">
        <v>253</v>
      </c>
    </row>
    <row r="591" spans="1:7">
      <c r="A591" s="14" t="s">
        <v>25</v>
      </c>
      <c r="B591">
        <v>6853800</v>
      </c>
      <c r="C591" s="86">
        <v>44026</v>
      </c>
      <c r="D591">
        <v>9.01</v>
      </c>
      <c r="E591" t="s">
        <v>253</v>
      </c>
    </row>
    <row r="592" spans="1:7">
      <c r="A592" s="14" t="s">
        <v>25</v>
      </c>
      <c r="B592">
        <v>6853800</v>
      </c>
      <c r="C592" s="86">
        <v>44027</v>
      </c>
      <c r="D592">
        <v>113</v>
      </c>
      <c r="E592" t="s">
        <v>253</v>
      </c>
    </row>
    <row r="593" spans="1:7">
      <c r="A593" s="14" t="s">
        <v>25</v>
      </c>
      <c r="B593">
        <v>6853800</v>
      </c>
      <c r="C593" s="86">
        <v>44028</v>
      </c>
      <c r="D593">
        <v>56.6</v>
      </c>
      <c r="E593" t="s">
        <v>253</v>
      </c>
    </row>
    <row r="594" spans="1:7">
      <c r="A594" s="14" t="s">
        <v>25</v>
      </c>
      <c r="B594">
        <v>6853800</v>
      </c>
      <c r="C594" s="86">
        <v>44029</v>
      </c>
      <c r="D594">
        <v>16.3</v>
      </c>
      <c r="E594" t="s">
        <v>253</v>
      </c>
    </row>
    <row r="595" spans="1:7">
      <c r="A595" s="14" t="s">
        <v>25</v>
      </c>
      <c r="B595">
        <v>6853800</v>
      </c>
      <c r="C595" s="86">
        <v>44030</v>
      </c>
      <c r="D595">
        <v>14.5</v>
      </c>
      <c r="E595" t="s">
        <v>253</v>
      </c>
    </row>
    <row r="596" spans="1:7">
      <c r="A596" s="14" t="s">
        <v>25</v>
      </c>
      <c r="B596">
        <v>6853800</v>
      </c>
      <c r="C596" s="86">
        <v>44031</v>
      </c>
      <c r="D596">
        <v>10.4</v>
      </c>
      <c r="E596" t="s">
        <v>253</v>
      </c>
    </row>
    <row r="597" spans="1:7">
      <c r="A597" s="14" t="s">
        <v>25</v>
      </c>
      <c r="B597">
        <v>6853800</v>
      </c>
      <c r="C597" s="86">
        <v>44032</v>
      </c>
      <c r="D597">
        <v>347</v>
      </c>
      <c r="E597" t="s">
        <v>253</v>
      </c>
    </row>
    <row r="598" spans="1:7">
      <c r="A598" s="14" t="s">
        <v>25</v>
      </c>
      <c r="B598">
        <v>6853800</v>
      </c>
      <c r="C598" s="86">
        <v>44033</v>
      </c>
      <c r="D598">
        <v>517</v>
      </c>
      <c r="E598" t="s">
        <v>253</v>
      </c>
    </row>
    <row r="599" spans="1:7">
      <c r="A599" s="14" t="s">
        <v>25</v>
      </c>
      <c r="B599">
        <v>6853800</v>
      </c>
      <c r="C599" s="86">
        <v>44034</v>
      </c>
      <c r="D599">
        <v>752</v>
      </c>
      <c r="E599" t="s">
        <v>253</v>
      </c>
    </row>
    <row r="600" spans="1:7">
      <c r="A600" s="14" t="s">
        <v>25</v>
      </c>
      <c r="B600">
        <v>6853800</v>
      </c>
      <c r="C600" s="86">
        <v>44035</v>
      </c>
      <c r="D600">
        <v>182</v>
      </c>
      <c r="E600" t="s">
        <v>253</v>
      </c>
    </row>
    <row r="601" spans="1:7">
      <c r="A601" s="14" t="s">
        <v>25</v>
      </c>
      <c r="B601">
        <v>6853800</v>
      </c>
      <c r="C601" s="86">
        <v>44036</v>
      </c>
      <c r="D601">
        <v>50.4</v>
      </c>
      <c r="E601" t="s">
        <v>253</v>
      </c>
    </row>
    <row r="602" spans="1:7">
      <c r="A602" s="14" t="s">
        <v>25</v>
      </c>
      <c r="B602">
        <v>6853800</v>
      </c>
      <c r="C602" s="86">
        <v>44037</v>
      </c>
      <c r="D602">
        <v>27.4</v>
      </c>
      <c r="E602" t="s">
        <v>253</v>
      </c>
    </row>
    <row r="603" spans="1:7">
      <c r="A603" s="14" t="s">
        <v>25</v>
      </c>
      <c r="B603">
        <v>6853800</v>
      </c>
      <c r="C603" s="86">
        <v>44038</v>
      </c>
      <c r="D603">
        <v>152</v>
      </c>
      <c r="E603" t="s">
        <v>252</v>
      </c>
    </row>
    <row r="604" spans="1:7">
      <c r="A604" s="14" t="s">
        <v>25</v>
      </c>
      <c r="B604">
        <v>6853800</v>
      </c>
      <c r="C604" s="86">
        <v>44039</v>
      </c>
      <c r="D604">
        <v>1780</v>
      </c>
      <c r="E604" t="s">
        <v>252</v>
      </c>
    </row>
    <row r="605" spans="1:7">
      <c r="A605" s="14" t="s">
        <v>25</v>
      </c>
      <c r="B605">
        <v>6853800</v>
      </c>
      <c r="C605" s="86">
        <v>44040</v>
      </c>
      <c r="D605">
        <v>1020</v>
      </c>
      <c r="E605" t="s">
        <v>252</v>
      </c>
    </row>
    <row r="606" spans="1:7">
      <c r="A606" s="14" t="s">
        <v>25</v>
      </c>
      <c r="B606">
        <v>6853800</v>
      </c>
      <c r="C606" s="86">
        <v>44041</v>
      </c>
      <c r="D606">
        <v>204</v>
      </c>
      <c r="E606" t="s">
        <v>252</v>
      </c>
    </row>
    <row r="607" spans="1:7">
      <c r="A607" s="14" t="s">
        <v>25</v>
      </c>
      <c r="B607">
        <v>6853800</v>
      </c>
      <c r="C607" s="86">
        <v>44042</v>
      </c>
      <c r="D607">
        <v>93.3</v>
      </c>
      <c r="E607" t="s">
        <v>252</v>
      </c>
    </row>
    <row r="608" spans="1:7">
      <c r="A608" s="14" t="s">
        <v>25</v>
      </c>
      <c r="B608">
        <v>6853800</v>
      </c>
      <c r="C608" s="86">
        <v>44043</v>
      </c>
      <c r="D608">
        <v>403</v>
      </c>
      <c r="E608" t="s">
        <v>252</v>
      </c>
      <c r="G608">
        <f>AVERAGE(D578:D608)</f>
        <v>188.95935483870969</v>
      </c>
    </row>
    <row r="609" spans="1:5">
      <c r="A609" s="14" t="s">
        <v>25</v>
      </c>
      <c r="B609">
        <v>6853800</v>
      </c>
      <c r="C609" s="86">
        <v>44044</v>
      </c>
      <c r="D609">
        <v>158</v>
      </c>
      <c r="E609" t="s">
        <v>252</v>
      </c>
    </row>
    <row r="610" spans="1:5">
      <c r="A610" s="14" t="s">
        <v>25</v>
      </c>
      <c r="B610">
        <v>6853800</v>
      </c>
      <c r="C610" s="86">
        <v>44045</v>
      </c>
      <c r="D610">
        <v>67</v>
      </c>
      <c r="E610" t="s">
        <v>252</v>
      </c>
    </row>
    <row r="611" spans="1:5">
      <c r="A611" s="14" t="s">
        <v>25</v>
      </c>
      <c r="B611">
        <v>6853800</v>
      </c>
      <c r="C611" s="86">
        <v>44046</v>
      </c>
      <c r="D611">
        <v>38.200000000000003</v>
      </c>
      <c r="E611" t="s">
        <v>252</v>
      </c>
    </row>
    <row r="612" spans="1:5">
      <c r="A612" s="14" t="s">
        <v>25</v>
      </c>
      <c r="B612">
        <v>6853800</v>
      </c>
      <c r="C612" s="86">
        <v>44047</v>
      </c>
      <c r="D612">
        <v>29.8</v>
      </c>
      <c r="E612" t="s">
        <v>252</v>
      </c>
    </row>
    <row r="613" spans="1:5">
      <c r="A613" s="14" t="s">
        <v>25</v>
      </c>
      <c r="B613">
        <v>6853800</v>
      </c>
      <c r="C613" s="86">
        <v>44048</v>
      </c>
      <c r="D613">
        <v>26.2</v>
      </c>
      <c r="E613" t="s">
        <v>253</v>
      </c>
    </row>
    <row r="614" spans="1:5">
      <c r="A614" s="14" t="s">
        <v>25</v>
      </c>
      <c r="B614">
        <v>6853800</v>
      </c>
      <c r="C614" s="86">
        <v>44049</v>
      </c>
      <c r="D614">
        <v>24.1</v>
      </c>
      <c r="E614" t="s">
        <v>253</v>
      </c>
    </row>
    <row r="615" spans="1:5">
      <c r="A615" s="14" t="s">
        <v>25</v>
      </c>
      <c r="B615">
        <v>6853800</v>
      </c>
      <c r="C615" s="86">
        <v>44050</v>
      </c>
      <c r="D615">
        <v>22.5</v>
      </c>
      <c r="E615" t="s">
        <v>253</v>
      </c>
    </row>
    <row r="616" spans="1:5">
      <c r="A616" s="14" t="s">
        <v>25</v>
      </c>
      <c r="B616">
        <v>6853800</v>
      </c>
      <c r="C616" s="86">
        <v>44051</v>
      </c>
      <c r="D616">
        <v>20.7</v>
      </c>
      <c r="E616" t="s">
        <v>253</v>
      </c>
    </row>
    <row r="617" spans="1:5">
      <c r="A617" s="14" t="s">
        <v>25</v>
      </c>
      <c r="B617">
        <v>6853800</v>
      </c>
      <c r="C617" s="86">
        <v>44052</v>
      </c>
      <c r="D617">
        <v>18.8</v>
      </c>
      <c r="E617" t="s">
        <v>253</v>
      </c>
    </row>
    <row r="618" spans="1:5">
      <c r="A618" s="14" t="s">
        <v>25</v>
      </c>
      <c r="B618">
        <v>6853800</v>
      </c>
      <c r="C618" s="86">
        <v>44053</v>
      </c>
      <c r="D618">
        <v>16.7</v>
      </c>
      <c r="E618" t="s">
        <v>253</v>
      </c>
    </row>
    <row r="619" spans="1:5">
      <c r="A619" s="14" t="s">
        <v>25</v>
      </c>
      <c r="B619">
        <v>6853800</v>
      </c>
      <c r="C619" s="86">
        <v>44054</v>
      </c>
      <c r="D619">
        <v>15.3</v>
      </c>
      <c r="E619" t="s">
        <v>253</v>
      </c>
    </row>
    <row r="620" spans="1:5">
      <c r="A620" s="14" t="s">
        <v>25</v>
      </c>
      <c r="B620">
        <v>6853800</v>
      </c>
      <c r="C620" s="86">
        <v>44055</v>
      </c>
      <c r="D620">
        <v>14</v>
      </c>
      <c r="E620" t="s">
        <v>253</v>
      </c>
    </row>
    <row r="621" spans="1:5">
      <c r="A621" s="14" t="s">
        <v>25</v>
      </c>
      <c r="B621">
        <v>6853800</v>
      </c>
      <c r="C621" s="86">
        <v>44056</v>
      </c>
      <c r="D621">
        <v>13.1</v>
      </c>
      <c r="E621" t="s">
        <v>253</v>
      </c>
    </row>
    <row r="622" spans="1:5">
      <c r="A622" s="14" t="s">
        <v>25</v>
      </c>
      <c r="B622">
        <v>6853800</v>
      </c>
      <c r="C622" s="86">
        <v>44057</v>
      </c>
      <c r="D622">
        <v>13.1</v>
      </c>
      <c r="E622" t="s">
        <v>253</v>
      </c>
    </row>
    <row r="623" spans="1:5">
      <c r="A623" s="14" t="s">
        <v>25</v>
      </c>
      <c r="B623">
        <v>6853800</v>
      </c>
      <c r="C623" s="86">
        <v>44058</v>
      </c>
      <c r="D623">
        <v>13</v>
      </c>
      <c r="E623" t="s">
        <v>253</v>
      </c>
    </row>
    <row r="624" spans="1:5">
      <c r="A624" s="14" t="s">
        <v>25</v>
      </c>
      <c r="B624">
        <v>6853800</v>
      </c>
      <c r="C624" s="86">
        <v>44059</v>
      </c>
      <c r="D624">
        <v>11.7</v>
      </c>
      <c r="E624" t="s">
        <v>253</v>
      </c>
    </row>
    <row r="625" spans="1:7">
      <c r="A625" s="14" t="s">
        <v>25</v>
      </c>
      <c r="B625">
        <v>6853800</v>
      </c>
      <c r="C625" s="86">
        <v>44060</v>
      </c>
      <c r="D625">
        <v>11.4</v>
      </c>
      <c r="E625" t="s">
        <v>253</v>
      </c>
    </row>
    <row r="626" spans="1:7">
      <c r="A626" s="14" t="s">
        <v>25</v>
      </c>
      <c r="B626">
        <v>6853800</v>
      </c>
      <c r="C626" s="86">
        <v>44061</v>
      </c>
      <c r="D626">
        <v>11.4</v>
      </c>
      <c r="E626" t="s">
        <v>253</v>
      </c>
    </row>
    <row r="627" spans="1:7">
      <c r="A627" s="14" t="s">
        <v>25</v>
      </c>
      <c r="B627">
        <v>6853800</v>
      </c>
      <c r="C627" s="86">
        <v>44062</v>
      </c>
      <c r="D627">
        <v>11.5</v>
      </c>
      <c r="E627" t="s">
        <v>253</v>
      </c>
    </row>
    <row r="628" spans="1:7">
      <c r="A628" s="14" t="s">
        <v>25</v>
      </c>
      <c r="B628">
        <v>6853800</v>
      </c>
      <c r="C628" s="86">
        <v>44063</v>
      </c>
      <c r="D628">
        <v>11</v>
      </c>
      <c r="E628" t="s">
        <v>253</v>
      </c>
    </row>
    <row r="629" spans="1:7">
      <c r="A629" s="14" t="s">
        <v>25</v>
      </c>
      <c r="B629">
        <v>6853800</v>
      </c>
      <c r="C629" s="86">
        <v>44064</v>
      </c>
      <c r="D629">
        <v>10.4</v>
      </c>
      <c r="E629" t="s">
        <v>253</v>
      </c>
    </row>
    <row r="630" spans="1:7">
      <c r="A630" s="14" t="s">
        <v>25</v>
      </c>
      <c r="B630">
        <v>6853800</v>
      </c>
      <c r="C630" s="86">
        <v>44065</v>
      </c>
      <c r="D630">
        <v>9.75</v>
      </c>
      <c r="E630" t="s">
        <v>253</v>
      </c>
    </row>
    <row r="631" spans="1:7">
      <c r="A631" s="14" t="s">
        <v>25</v>
      </c>
      <c r="B631">
        <v>6853800</v>
      </c>
      <c r="C631" s="86">
        <v>44066</v>
      </c>
      <c r="D631">
        <v>9.32</v>
      </c>
      <c r="E631" t="s">
        <v>253</v>
      </c>
    </row>
    <row r="632" spans="1:7">
      <c r="A632" s="14" t="s">
        <v>25</v>
      </c>
      <c r="B632">
        <v>6853800</v>
      </c>
      <c r="C632" s="86">
        <v>44067</v>
      </c>
      <c r="D632">
        <v>8.83</v>
      </c>
      <c r="E632" t="s">
        <v>253</v>
      </c>
    </row>
    <row r="633" spans="1:7">
      <c r="A633" s="14" t="s">
        <v>25</v>
      </c>
      <c r="B633">
        <v>6853800</v>
      </c>
      <c r="C633" s="86">
        <v>44068</v>
      </c>
      <c r="D633">
        <v>8.35</v>
      </c>
      <c r="E633" t="s">
        <v>253</v>
      </c>
    </row>
    <row r="634" spans="1:7">
      <c r="A634" s="14" t="s">
        <v>25</v>
      </c>
      <c r="B634">
        <v>6853800</v>
      </c>
      <c r="C634" s="86">
        <v>44069</v>
      </c>
      <c r="D634">
        <v>7.71</v>
      </c>
      <c r="E634" t="s">
        <v>253</v>
      </c>
    </row>
    <row r="635" spans="1:7">
      <c r="A635" s="14" t="s">
        <v>25</v>
      </c>
      <c r="B635">
        <v>6853800</v>
      </c>
      <c r="C635" s="86">
        <v>44070</v>
      </c>
      <c r="D635">
        <v>7.23</v>
      </c>
      <c r="E635" t="s">
        <v>253</v>
      </c>
    </row>
    <row r="636" spans="1:7">
      <c r="A636" s="14" t="s">
        <v>25</v>
      </c>
      <c r="B636">
        <v>6853800</v>
      </c>
      <c r="C636" s="86">
        <v>44071</v>
      </c>
      <c r="D636">
        <v>6.85</v>
      </c>
      <c r="E636" t="s">
        <v>253</v>
      </c>
    </row>
    <row r="637" spans="1:7">
      <c r="A637" s="14" t="s">
        <v>25</v>
      </c>
      <c r="B637">
        <v>6853800</v>
      </c>
      <c r="C637" s="86">
        <v>44072</v>
      </c>
      <c r="D637">
        <v>6.39</v>
      </c>
      <c r="E637" t="s">
        <v>253</v>
      </c>
    </row>
    <row r="638" spans="1:7">
      <c r="A638" s="14" t="s">
        <v>25</v>
      </c>
      <c r="B638">
        <v>6853800</v>
      </c>
      <c r="C638" s="86">
        <v>44073</v>
      </c>
      <c r="D638">
        <v>6.28</v>
      </c>
      <c r="E638" t="s">
        <v>253</v>
      </c>
    </row>
    <row r="639" spans="1:7">
      <c r="A639" s="14" t="s">
        <v>25</v>
      </c>
      <c r="B639">
        <v>6853800</v>
      </c>
      <c r="C639" s="86">
        <v>44074</v>
      </c>
      <c r="D639">
        <v>5.86</v>
      </c>
      <c r="E639" t="s">
        <v>253</v>
      </c>
      <c r="G639">
        <f>AVERAGE(D609:D639)</f>
        <v>20.466774193548392</v>
      </c>
    </row>
    <row r="640" spans="1:7">
      <c r="A640" s="14" t="s">
        <v>25</v>
      </c>
      <c r="B640">
        <v>6853800</v>
      </c>
      <c r="C640" s="86">
        <v>44075</v>
      </c>
      <c r="D640">
        <v>5.67</v>
      </c>
      <c r="E640" t="s">
        <v>253</v>
      </c>
    </row>
    <row r="641" spans="1:5">
      <c r="A641" s="14" t="s">
        <v>25</v>
      </c>
      <c r="B641">
        <v>6853800</v>
      </c>
      <c r="C641" s="86">
        <v>44076</v>
      </c>
      <c r="D641">
        <v>5.74</v>
      </c>
      <c r="E641" t="s">
        <v>253</v>
      </c>
    </row>
    <row r="642" spans="1:5">
      <c r="A642" s="14" t="s">
        <v>25</v>
      </c>
      <c r="B642">
        <v>6853800</v>
      </c>
      <c r="C642" s="86">
        <v>44077</v>
      </c>
      <c r="D642">
        <v>5.38</v>
      </c>
      <c r="E642" t="s">
        <v>253</v>
      </c>
    </row>
    <row r="643" spans="1:5">
      <c r="A643" s="14" t="s">
        <v>25</v>
      </c>
      <c r="B643">
        <v>6853800</v>
      </c>
      <c r="C643" s="86">
        <v>44078</v>
      </c>
      <c r="D643">
        <v>5.08</v>
      </c>
      <c r="E643" t="s">
        <v>253</v>
      </c>
    </row>
    <row r="644" spans="1:5">
      <c r="A644" s="14" t="s">
        <v>25</v>
      </c>
      <c r="B644">
        <v>6853800</v>
      </c>
      <c r="C644" s="86">
        <v>44079</v>
      </c>
      <c r="D644">
        <v>5</v>
      </c>
      <c r="E644" t="s">
        <v>253</v>
      </c>
    </row>
    <row r="645" spans="1:5">
      <c r="A645" s="14" t="s">
        <v>25</v>
      </c>
      <c r="B645">
        <v>6853800</v>
      </c>
      <c r="C645" s="86">
        <v>44080</v>
      </c>
      <c r="D645">
        <v>4.8499999999999996</v>
      </c>
      <c r="E645" t="s">
        <v>253</v>
      </c>
    </row>
    <row r="646" spans="1:5">
      <c r="A646" s="14" t="s">
        <v>25</v>
      </c>
      <c r="B646">
        <v>6853800</v>
      </c>
      <c r="C646" s="86">
        <v>44081</v>
      </c>
      <c r="D646">
        <v>4.59</v>
      </c>
      <c r="E646" t="s">
        <v>253</v>
      </c>
    </row>
    <row r="647" spans="1:5">
      <c r="A647" s="14" t="s">
        <v>25</v>
      </c>
      <c r="B647">
        <v>6853800</v>
      </c>
      <c r="C647" s="86">
        <v>44082</v>
      </c>
      <c r="D647">
        <v>4.49</v>
      </c>
      <c r="E647" t="s">
        <v>253</v>
      </c>
    </row>
    <row r="648" spans="1:5">
      <c r="A648" s="14" t="s">
        <v>25</v>
      </c>
      <c r="B648">
        <v>6853800</v>
      </c>
      <c r="C648" s="86">
        <v>44083</v>
      </c>
      <c r="D648">
        <v>6.95</v>
      </c>
      <c r="E648" t="s">
        <v>253</v>
      </c>
    </row>
    <row r="649" spans="1:5">
      <c r="A649" s="14" t="s">
        <v>25</v>
      </c>
      <c r="B649">
        <v>6853800</v>
      </c>
      <c r="C649" s="86">
        <v>44084</v>
      </c>
      <c r="D649">
        <v>7.42</v>
      </c>
      <c r="E649" t="s">
        <v>253</v>
      </c>
    </row>
    <row r="650" spans="1:5">
      <c r="A650" s="14" t="s">
        <v>25</v>
      </c>
      <c r="B650">
        <v>6853800</v>
      </c>
      <c r="C650" s="86">
        <v>44085</v>
      </c>
      <c r="D650">
        <v>7.67</v>
      </c>
      <c r="E650" t="s">
        <v>253</v>
      </c>
    </row>
    <row r="651" spans="1:5">
      <c r="A651" s="14" t="s">
        <v>25</v>
      </c>
      <c r="B651">
        <v>6853800</v>
      </c>
      <c r="C651" s="86">
        <v>44086</v>
      </c>
      <c r="D651">
        <v>8.16</v>
      </c>
      <c r="E651" t="s">
        <v>253</v>
      </c>
    </row>
    <row r="652" spans="1:5">
      <c r="A652" s="14" t="s">
        <v>25</v>
      </c>
      <c r="B652">
        <v>6853800</v>
      </c>
      <c r="C652" s="86">
        <v>44087</v>
      </c>
      <c r="D652">
        <v>7.44</v>
      </c>
      <c r="E652" t="s">
        <v>253</v>
      </c>
    </row>
    <row r="653" spans="1:5">
      <c r="A653" s="14" t="s">
        <v>25</v>
      </c>
      <c r="B653">
        <v>6853800</v>
      </c>
      <c r="C653" s="86">
        <v>44088</v>
      </c>
      <c r="D653">
        <v>7.06</v>
      </c>
      <c r="E653" t="s">
        <v>253</v>
      </c>
    </row>
    <row r="654" spans="1:5">
      <c r="A654" s="14" t="s">
        <v>25</v>
      </c>
      <c r="B654">
        <v>6853800</v>
      </c>
      <c r="C654" s="86">
        <v>44089</v>
      </c>
      <c r="D654">
        <v>6.57</v>
      </c>
      <c r="E654" t="s">
        <v>253</v>
      </c>
    </row>
    <row r="655" spans="1:5">
      <c r="A655" s="14" t="s">
        <v>25</v>
      </c>
      <c r="B655">
        <v>6853800</v>
      </c>
      <c r="C655" s="86">
        <v>44090</v>
      </c>
      <c r="D655">
        <v>6.2</v>
      </c>
      <c r="E655" t="s">
        <v>253</v>
      </c>
    </row>
    <row r="656" spans="1:5">
      <c r="A656" s="14" t="s">
        <v>25</v>
      </c>
      <c r="B656">
        <v>6853800</v>
      </c>
      <c r="C656" s="86">
        <v>44091</v>
      </c>
      <c r="D656">
        <v>5.94</v>
      </c>
      <c r="E656" t="s">
        <v>253</v>
      </c>
    </row>
    <row r="657" spans="1:11">
      <c r="A657" s="14" t="s">
        <v>25</v>
      </c>
      <c r="B657">
        <v>6853800</v>
      </c>
      <c r="C657" s="86">
        <v>44092</v>
      </c>
      <c r="D657">
        <v>5.95</v>
      </c>
      <c r="E657" t="s">
        <v>253</v>
      </c>
    </row>
    <row r="658" spans="1:11">
      <c r="A658" s="14" t="s">
        <v>25</v>
      </c>
      <c r="B658">
        <v>6853800</v>
      </c>
      <c r="C658" s="86">
        <v>44093</v>
      </c>
      <c r="D658">
        <v>5.68</v>
      </c>
      <c r="E658" t="s">
        <v>253</v>
      </c>
    </row>
    <row r="659" spans="1:11">
      <c r="A659" s="14" t="s">
        <v>25</v>
      </c>
      <c r="B659">
        <v>6853800</v>
      </c>
      <c r="C659" s="86">
        <v>44094</v>
      </c>
      <c r="D659">
        <v>5.43</v>
      </c>
      <c r="E659" t="s">
        <v>253</v>
      </c>
    </row>
    <row r="660" spans="1:11">
      <c r="A660" s="14" t="s">
        <v>25</v>
      </c>
      <c r="B660">
        <v>6853800</v>
      </c>
      <c r="C660" s="86">
        <v>44095</v>
      </c>
      <c r="D660">
        <v>5.31</v>
      </c>
      <c r="E660" t="s">
        <v>253</v>
      </c>
    </row>
    <row r="661" spans="1:11">
      <c r="A661" s="14" t="s">
        <v>25</v>
      </c>
      <c r="B661">
        <v>6853800</v>
      </c>
      <c r="C661" s="86">
        <v>44096</v>
      </c>
      <c r="D661">
        <v>5.33</v>
      </c>
      <c r="E661" t="s">
        <v>253</v>
      </c>
    </row>
    <row r="662" spans="1:11">
      <c r="A662" s="14" t="s">
        <v>25</v>
      </c>
      <c r="B662">
        <v>6853800</v>
      </c>
      <c r="C662" s="86">
        <v>44097</v>
      </c>
      <c r="D662">
        <v>5.16</v>
      </c>
      <c r="E662" t="s">
        <v>253</v>
      </c>
    </row>
    <row r="663" spans="1:11">
      <c r="A663" s="14" t="s">
        <v>25</v>
      </c>
      <c r="B663">
        <v>6853800</v>
      </c>
      <c r="C663" s="86">
        <v>44098</v>
      </c>
      <c r="D663">
        <v>5.21</v>
      </c>
      <c r="E663" t="s">
        <v>253</v>
      </c>
    </row>
    <row r="664" spans="1:11">
      <c r="A664" s="14" t="s">
        <v>25</v>
      </c>
      <c r="B664">
        <v>6853800</v>
      </c>
      <c r="C664" s="86">
        <v>44099</v>
      </c>
      <c r="D664">
        <v>5.2</v>
      </c>
      <c r="E664" t="s">
        <v>253</v>
      </c>
    </row>
    <row r="665" spans="1:11">
      <c r="A665" s="14" t="s">
        <v>25</v>
      </c>
      <c r="B665">
        <v>6853800</v>
      </c>
      <c r="C665" s="86">
        <v>44100</v>
      </c>
      <c r="D665">
        <v>5.07</v>
      </c>
      <c r="E665" t="s">
        <v>253</v>
      </c>
    </row>
    <row r="666" spans="1:11">
      <c r="A666" s="14" t="s">
        <v>25</v>
      </c>
      <c r="B666">
        <v>6853800</v>
      </c>
      <c r="C666" s="86">
        <v>44101</v>
      </c>
      <c r="D666">
        <v>4.5199999999999996</v>
      </c>
      <c r="E666" t="s">
        <v>253</v>
      </c>
    </row>
    <row r="667" spans="1:11">
      <c r="A667" s="14" t="s">
        <v>25</v>
      </c>
      <c r="B667">
        <v>6853800</v>
      </c>
      <c r="C667" s="86">
        <v>44102</v>
      </c>
      <c r="D667">
        <v>4.34</v>
      </c>
      <c r="E667" t="s">
        <v>253</v>
      </c>
    </row>
    <row r="668" spans="1:11">
      <c r="A668" s="14" t="s">
        <v>25</v>
      </c>
      <c r="B668">
        <v>6853800</v>
      </c>
      <c r="C668" s="86">
        <v>44103</v>
      </c>
      <c r="D668">
        <v>4.2699999999999996</v>
      </c>
      <c r="E668" t="s">
        <v>253</v>
      </c>
    </row>
    <row r="669" spans="1:11">
      <c r="A669" s="14" t="s">
        <v>25</v>
      </c>
      <c r="B669">
        <v>6853800</v>
      </c>
      <c r="C669" s="86">
        <v>44104</v>
      </c>
      <c r="D669">
        <v>4.38</v>
      </c>
      <c r="E669" t="s">
        <v>253</v>
      </c>
      <c r="G669">
        <f>AVERAGE(D640:D669)</f>
        <v>5.6686666666666685</v>
      </c>
    </row>
    <row r="670" spans="1:11">
      <c r="A670" s="14" t="s">
        <v>25</v>
      </c>
      <c r="B670">
        <v>6853800</v>
      </c>
      <c r="C670" s="86">
        <v>44105</v>
      </c>
      <c r="D670">
        <v>4.32</v>
      </c>
      <c r="E670" t="s">
        <v>253</v>
      </c>
    </row>
    <row r="671" spans="1:11">
      <c r="A671" s="14" t="s">
        <v>25</v>
      </c>
      <c r="B671">
        <v>6853800</v>
      </c>
      <c r="C671" s="86">
        <v>44106</v>
      </c>
      <c r="D671">
        <v>4.38</v>
      </c>
      <c r="E671" t="s">
        <v>253</v>
      </c>
    </row>
    <row r="672" spans="1:11">
      <c r="A672" s="14" t="s">
        <v>25</v>
      </c>
      <c r="B672">
        <v>6853800</v>
      </c>
      <c r="C672" s="86">
        <v>44107</v>
      </c>
      <c r="D672">
        <v>4.46</v>
      </c>
      <c r="E672" t="s">
        <v>253</v>
      </c>
      <c r="I672">
        <v>20.5</v>
      </c>
      <c r="J672">
        <v>5.67</v>
      </c>
      <c r="K672">
        <v>5.15</v>
      </c>
    </row>
    <row r="673" spans="1:5">
      <c r="A673" s="14" t="s">
        <v>25</v>
      </c>
      <c r="B673">
        <v>6853800</v>
      </c>
      <c r="C673" s="86">
        <v>44108</v>
      </c>
      <c r="D673">
        <v>4.55</v>
      </c>
      <c r="E673" t="s">
        <v>253</v>
      </c>
    </row>
    <row r="674" spans="1:5">
      <c r="A674" s="14" t="s">
        <v>25</v>
      </c>
      <c r="B674">
        <v>6853800</v>
      </c>
      <c r="C674" s="86">
        <v>44109</v>
      </c>
      <c r="D674">
        <v>4.72</v>
      </c>
      <c r="E674" t="s">
        <v>253</v>
      </c>
    </row>
    <row r="675" spans="1:5">
      <c r="A675" s="14" t="s">
        <v>25</v>
      </c>
      <c r="B675">
        <v>6853800</v>
      </c>
      <c r="C675" s="86">
        <v>44110</v>
      </c>
      <c r="D675">
        <v>4.92</v>
      </c>
      <c r="E675" t="s">
        <v>253</v>
      </c>
    </row>
    <row r="676" spans="1:5">
      <c r="A676" s="14" t="s">
        <v>25</v>
      </c>
      <c r="B676">
        <v>6853800</v>
      </c>
      <c r="C676" s="86">
        <v>44111</v>
      </c>
      <c r="D676">
        <v>4.92</v>
      </c>
      <c r="E676" t="s">
        <v>253</v>
      </c>
    </row>
    <row r="677" spans="1:5">
      <c r="A677" s="14" t="s">
        <v>25</v>
      </c>
      <c r="B677">
        <v>6853800</v>
      </c>
      <c r="C677" s="86">
        <v>44112</v>
      </c>
      <c r="D677">
        <v>4.4400000000000004</v>
      </c>
      <c r="E677" t="s">
        <v>253</v>
      </c>
    </row>
    <row r="678" spans="1:5">
      <c r="A678" s="14" t="s">
        <v>25</v>
      </c>
      <c r="B678">
        <v>6853800</v>
      </c>
      <c r="C678" s="86">
        <v>44113</v>
      </c>
      <c r="D678">
        <v>4.25</v>
      </c>
      <c r="E678" t="s">
        <v>252</v>
      </c>
    </row>
    <row r="679" spans="1:5">
      <c r="A679" s="14" t="s">
        <v>25</v>
      </c>
      <c r="B679">
        <v>6853800</v>
      </c>
      <c r="C679" s="86">
        <v>44114</v>
      </c>
      <c r="D679">
        <v>4.22</v>
      </c>
      <c r="E679" t="s">
        <v>252</v>
      </c>
    </row>
    <row r="680" spans="1:5">
      <c r="A680" s="14" t="s">
        <v>25</v>
      </c>
      <c r="B680">
        <v>6853800</v>
      </c>
      <c r="C680" s="86">
        <v>44115</v>
      </c>
      <c r="D680">
        <v>4.18</v>
      </c>
      <c r="E680" t="s">
        <v>253</v>
      </c>
    </row>
    <row r="681" spans="1:5">
      <c r="A681" s="14" t="s">
        <v>25</v>
      </c>
      <c r="B681">
        <v>6853800</v>
      </c>
      <c r="C681" s="86">
        <v>44116</v>
      </c>
      <c r="D681">
        <v>3.72</v>
      </c>
      <c r="E681" t="s">
        <v>253</v>
      </c>
    </row>
    <row r="682" spans="1:5">
      <c r="A682" s="14" t="s">
        <v>25</v>
      </c>
      <c r="B682">
        <v>6853800</v>
      </c>
      <c r="C682" s="86">
        <v>44117</v>
      </c>
      <c r="D682">
        <v>4.1100000000000003</v>
      </c>
      <c r="E682" t="s">
        <v>253</v>
      </c>
    </row>
    <row r="683" spans="1:5">
      <c r="A683" s="14" t="s">
        <v>25</v>
      </c>
      <c r="B683">
        <v>6853800</v>
      </c>
      <c r="C683" s="86">
        <v>44118</v>
      </c>
      <c r="D683">
        <v>4.43</v>
      </c>
      <c r="E683" t="s">
        <v>253</v>
      </c>
    </row>
    <row r="684" spans="1:5">
      <c r="A684" s="14" t="s">
        <v>25</v>
      </c>
      <c r="B684">
        <v>6853800</v>
      </c>
      <c r="C684" s="86">
        <v>44119</v>
      </c>
      <c r="D684">
        <v>4.01</v>
      </c>
      <c r="E684" t="s">
        <v>253</v>
      </c>
    </row>
    <row r="685" spans="1:5">
      <c r="A685" s="14" t="s">
        <v>25</v>
      </c>
      <c r="B685">
        <v>6853800</v>
      </c>
      <c r="C685" s="86">
        <v>44120</v>
      </c>
      <c r="D685">
        <v>4.2699999999999996</v>
      </c>
      <c r="E685" t="s">
        <v>253</v>
      </c>
    </row>
    <row r="686" spans="1:5">
      <c r="A686" s="14" t="s">
        <v>25</v>
      </c>
      <c r="B686">
        <v>6853800</v>
      </c>
      <c r="C686" s="86">
        <v>44121</v>
      </c>
      <c r="D686">
        <v>4.6500000000000004</v>
      </c>
      <c r="E686" t="s">
        <v>253</v>
      </c>
    </row>
    <row r="687" spans="1:5">
      <c r="A687" s="14" t="s">
        <v>25</v>
      </c>
      <c r="B687">
        <v>6853800</v>
      </c>
      <c r="C687" s="86">
        <v>44122</v>
      </c>
      <c r="D687">
        <v>4.75</v>
      </c>
      <c r="E687" t="s">
        <v>253</v>
      </c>
    </row>
    <row r="688" spans="1:5">
      <c r="A688" s="14" t="s">
        <v>25</v>
      </c>
      <c r="B688">
        <v>6853800</v>
      </c>
      <c r="C688" s="86">
        <v>44123</v>
      </c>
      <c r="D688">
        <v>4.9800000000000004</v>
      </c>
      <c r="E688" t="s">
        <v>253</v>
      </c>
    </row>
    <row r="689" spans="1:7">
      <c r="A689" s="14" t="s">
        <v>25</v>
      </c>
      <c r="B689">
        <v>6853800</v>
      </c>
      <c r="C689" s="86">
        <v>44124</v>
      </c>
      <c r="D689">
        <v>5.23</v>
      </c>
      <c r="E689" t="s">
        <v>253</v>
      </c>
    </row>
    <row r="690" spans="1:7">
      <c r="A690" s="14" t="s">
        <v>25</v>
      </c>
      <c r="B690">
        <v>6853800</v>
      </c>
      <c r="C690" s="86">
        <v>44125</v>
      </c>
      <c r="D690">
        <v>5.44</v>
      </c>
      <c r="E690" t="s">
        <v>253</v>
      </c>
    </row>
    <row r="691" spans="1:7">
      <c r="A691" s="14" t="s">
        <v>25</v>
      </c>
      <c r="B691">
        <v>6853800</v>
      </c>
      <c r="C691" s="86">
        <v>44126</v>
      </c>
      <c r="D691">
        <v>5.75</v>
      </c>
      <c r="E691" t="s">
        <v>253</v>
      </c>
    </row>
    <row r="692" spans="1:7">
      <c r="A692" s="14" t="s">
        <v>25</v>
      </c>
      <c r="B692">
        <v>6853800</v>
      </c>
      <c r="C692" s="86">
        <v>44127</v>
      </c>
      <c r="D692">
        <v>5.89</v>
      </c>
      <c r="E692" t="s">
        <v>252</v>
      </c>
    </row>
    <row r="693" spans="1:7">
      <c r="A693" s="14" t="s">
        <v>25</v>
      </c>
      <c r="B693">
        <v>6853800</v>
      </c>
      <c r="C693" s="86">
        <v>44128</v>
      </c>
      <c r="D693">
        <v>5.97</v>
      </c>
      <c r="E693" t="s">
        <v>252</v>
      </c>
    </row>
    <row r="694" spans="1:7">
      <c r="A694" s="14" t="s">
        <v>25</v>
      </c>
      <c r="B694">
        <v>6853800</v>
      </c>
      <c r="C694" s="86">
        <v>44129</v>
      </c>
      <c r="D694">
        <v>5.97</v>
      </c>
      <c r="E694" t="s">
        <v>253</v>
      </c>
    </row>
    <row r="695" spans="1:7">
      <c r="A695" s="14" t="s">
        <v>25</v>
      </c>
      <c r="B695">
        <v>6853800</v>
      </c>
      <c r="C695" s="86">
        <v>44130</v>
      </c>
      <c r="D695">
        <v>5.69</v>
      </c>
      <c r="E695" t="s">
        <v>253</v>
      </c>
    </row>
    <row r="696" spans="1:7">
      <c r="A696" s="14" t="s">
        <v>25</v>
      </c>
      <c r="B696">
        <v>6853800</v>
      </c>
      <c r="C696" s="86">
        <v>44131</v>
      </c>
      <c r="D696">
        <v>6.21</v>
      </c>
      <c r="E696" t="s">
        <v>253</v>
      </c>
    </row>
    <row r="697" spans="1:7">
      <c r="A697" s="14" t="s">
        <v>25</v>
      </c>
      <c r="B697">
        <v>6853800</v>
      </c>
      <c r="C697" s="86">
        <v>44132</v>
      </c>
      <c r="D697">
        <v>6.68</v>
      </c>
      <c r="E697" t="s">
        <v>253</v>
      </c>
    </row>
    <row r="698" spans="1:7">
      <c r="A698" s="14" t="s">
        <v>25</v>
      </c>
      <c r="B698">
        <v>6853800</v>
      </c>
      <c r="C698" s="86">
        <v>44133</v>
      </c>
      <c r="D698">
        <v>6.94</v>
      </c>
      <c r="E698" t="s">
        <v>253</v>
      </c>
    </row>
    <row r="699" spans="1:7">
      <c r="A699" s="14" t="s">
        <v>25</v>
      </c>
      <c r="B699">
        <v>6853800</v>
      </c>
      <c r="C699" s="86">
        <v>44134</v>
      </c>
      <c r="D699">
        <v>7.65</v>
      </c>
      <c r="E699" t="s">
        <v>253</v>
      </c>
    </row>
    <row r="700" spans="1:7">
      <c r="A700" s="14" t="s">
        <v>25</v>
      </c>
      <c r="B700">
        <v>6853800</v>
      </c>
      <c r="C700" s="86">
        <v>44135</v>
      </c>
      <c r="D700">
        <v>7.84</v>
      </c>
      <c r="E700" t="s">
        <v>253</v>
      </c>
      <c r="G700">
        <f>AVERAGE(D670:D700)</f>
        <v>5.1464516129032267</v>
      </c>
    </row>
    <row r="701" spans="1:7">
      <c r="A701" s="14" t="s">
        <v>25</v>
      </c>
      <c r="B701">
        <v>6853800</v>
      </c>
      <c r="C701" s="86">
        <v>44136</v>
      </c>
      <c r="D701">
        <v>7.59</v>
      </c>
      <c r="E701" t="s">
        <v>253</v>
      </c>
    </row>
    <row r="702" spans="1:7">
      <c r="A702" s="14" t="s">
        <v>25</v>
      </c>
      <c r="B702">
        <v>6853800</v>
      </c>
      <c r="C702" s="86">
        <v>44137</v>
      </c>
      <c r="D702">
        <v>8.11</v>
      </c>
      <c r="E702" t="s">
        <v>253</v>
      </c>
    </row>
    <row r="703" spans="1:7">
      <c r="A703" s="14" t="s">
        <v>25</v>
      </c>
      <c r="B703">
        <v>6853800</v>
      </c>
      <c r="C703" s="86">
        <v>44138</v>
      </c>
      <c r="D703">
        <v>7.8</v>
      </c>
      <c r="E703" t="s">
        <v>252</v>
      </c>
    </row>
    <row r="704" spans="1:7">
      <c r="A704" s="14" t="s">
        <v>25</v>
      </c>
      <c r="B704">
        <v>6853800</v>
      </c>
      <c r="C704" s="86">
        <v>44139</v>
      </c>
      <c r="D704">
        <v>8.1999999999999993</v>
      </c>
      <c r="E704" t="s">
        <v>253</v>
      </c>
    </row>
    <row r="705" spans="1:5">
      <c r="A705" s="14" t="s">
        <v>25</v>
      </c>
      <c r="B705">
        <v>6853800</v>
      </c>
      <c r="C705" s="86">
        <v>44140</v>
      </c>
      <c r="D705">
        <v>8.3800000000000008</v>
      </c>
      <c r="E705" t="s">
        <v>253</v>
      </c>
    </row>
    <row r="706" spans="1:5">
      <c r="A706" s="14" t="s">
        <v>25</v>
      </c>
      <c r="B706">
        <v>6853800</v>
      </c>
      <c r="C706" s="86">
        <v>44141</v>
      </c>
      <c r="D706">
        <v>8.6999999999999993</v>
      </c>
      <c r="E706" t="s">
        <v>253</v>
      </c>
    </row>
    <row r="707" spans="1:5">
      <c r="A707" s="14" t="s">
        <v>25</v>
      </c>
      <c r="B707">
        <v>6853800</v>
      </c>
      <c r="C707" s="86">
        <v>44142</v>
      </c>
      <c r="D707">
        <v>8.59</v>
      </c>
      <c r="E707" t="s">
        <v>253</v>
      </c>
    </row>
    <row r="708" spans="1:5">
      <c r="A708" s="14" t="s">
        <v>25</v>
      </c>
      <c r="B708">
        <v>6853800</v>
      </c>
      <c r="C708" s="86">
        <v>44143</v>
      </c>
      <c r="D708">
        <v>8.5</v>
      </c>
      <c r="E708" t="s">
        <v>253</v>
      </c>
    </row>
    <row r="709" spans="1:5">
      <c r="A709" s="14" t="s">
        <v>25</v>
      </c>
      <c r="B709">
        <v>6853800</v>
      </c>
      <c r="C709" s="86">
        <v>44144</v>
      </c>
      <c r="D709">
        <v>8.19</v>
      </c>
      <c r="E709" t="s">
        <v>253</v>
      </c>
    </row>
    <row r="710" spans="1:5">
      <c r="A710" s="14" t="s">
        <v>25</v>
      </c>
      <c r="B710">
        <v>6853800</v>
      </c>
      <c r="C710" s="86">
        <v>44145</v>
      </c>
      <c r="D710">
        <v>12.4</v>
      </c>
      <c r="E710" t="s">
        <v>253</v>
      </c>
    </row>
    <row r="711" spans="1:5">
      <c r="A711" s="14" t="s">
        <v>25</v>
      </c>
      <c r="B711">
        <v>6853800</v>
      </c>
      <c r="C711" s="86">
        <v>44146</v>
      </c>
      <c r="D711">
        <v>14.1</v>
      </c>
      <c r="E711" t="s">
        <v>253</v>
      </c>
    </row>
    <row r="712" spans="1:5">
      <c r="A712" s="14" t="s">
        <v>25</v>
      </c>
      <c r="B712">
        <v>6853800</v>
      </c>
      <c r="C712" s="86">
        <v>44147</v>
      </c>
      <c r="D712">
        <v>15.5</v>
      </c>
      <c r="E712" t="s">
        <v>252</v>
      </c>
    </row>
    <row r="713" spans="1:5">
      <c r="A713" s="14" t="s">
        <v>25</v>
      </c>
      <c r="B713">
        <v>6853800</v>
      </c>
      <c r="C713" s="86">
        <v>44148</v>
      </c>
      <c r="D713">
        <v>12</v>
      </c>
      <c r="E713" t="s">
        <v>253</v>
      </c>
    </row>
    <row r="714" spans="1:5">
      <c r="A714" s="14" t="s">
        <v>25</v>
      </c>
      <c r="B714">
        <v>6853800</v>
      </c>
      <c r="C714" s="86">
        <v>44149</v>
      </c>
      <c r="D714">
        <v>11</v>
      </c>
      <c r="E714" t="s">
        <v>253</v>
      </c>
    </row>
    <row r="715" spans="1:5">
      <c r="A715" s="14" t="s">
        <v>25</v>
      </c>
      <c r="B715">
        <v>6853800</v>
      </c>
      <c r="C715" s="86">
        <v>44150</v>
      </c>
      <c r="D715">
        <v>9.4</v>
      </c>
      <c r="E715" t="s">
        <v>253</v>
      </c>
    </row>
    <row r="716" spans="1:5">
      <c r="A716" s="14" t="s">
        <v>25</v>
      </c>
      <c r="B716">
        <v>6853800</v>
      </c>
      <c r="C716" s="86">
        <v>44151</v>
      </c>
      <c r="D716">
        <v>9.2899999999999991</v>
      </c>
      <c r="E716" t="s">
        <v>253</v>
      </c>
    </row>
    <row r="717" spans="1:5">
      <c r="A717" s="14" t="s">
        <v>25</v>
      </c>
      <c r="B717">
        <v>6853800</v>
      </c>
      <c r="C717" s="86">
        <v>44152</v>
      </c>
      <c r="D717">
        <v>9.31</v>
      </c>
      <c r="E717" t="s">
        <v>253</v>
      </c>
    </row>
    <row r="718" spans="1:5">
      <c r="A718" s="14" t="s">
        <v>25</v>
      </c>
      <c r="B718">
        <v>6853800</v>
      </c>
      <c r="C718" s="86">
        <v>44153</v>
      </c>
      <c r="D718">
        <v>9.58</v>
      </c>
      <c r="E718" t="s">
        <v>253</v>
      </c>
    </row>
    <row r="719" spans="1:5">
      <c r="A719" s="14" t="s">
        <v>25</v>
      </c>
      <c r="B719">
        <v>6853800</v>
      </c>
      <c r="C719" s="86">
        <v>44154</v>
      </c>
      <c r="D719">
        <v>10</v>
      </c>
      <c r="E719" t="s">
        <v>253</v>
      </c>
    </row>
    <row r="720" spans="1:5">
      <c r="A720" s="14" t="s">
        <v>25</v>
      </c>
      <c r="B720">
        <v>6853800</v>
      </c>
      <c r="C720" s="86">
        <v>44155</v>
      </c>
      <c r="D720">
        <v>10</v>
      </c>
      <c r="E720" t="s">
        <v>253</v>
      </c>
    </row>
    <row r="721" spans="1:7">
      <c r="A721" s="14" t="s">
        <v>25</v>
      </c>
      <c r="B721">
        <v>6853800</v>
      </c>
      <c r="C721" s="86">
        <v>44156</v>
      </c>
      <c r="D721">
        <v>10.1</v>
      </c>
      <c r="E721" t="s">
        <v>253</v>
      </c>
    </row>
    <row r="722" spans="1:7">
      <c r="A722" s="14" t="s">
        <v>25</v>
      </c>
      <c r="B722">
        <v>6853800</v>
      </c>
      <c r="C722" s="86">
        <v>44157</v>
      </c>
      <c r="D722">
        <v>10.1</v>
      </c>
      <c r="E722" t="s">
        <v>253</v>
      </c>
    </row>
    <row r="723" spans="1:7">
      <c r="A723" s="14" t="s">
        <v>25</v>
      </c>
      <c r="B723">
        <v>6853800</v>
      </c>
      <c r="C723" s="86">
        <v>44158</v>
      </c>
      <c r="D723">
        <v>10.1</v>
      </c>
      <c r="E723" t="s">
        <v>253</v>
      </c>
    </row>
    <row r="724" spans="1:7">
      <c r="A724" s="14" t="s">
        <v>25</v>
      </c>
      <c r="B724">
        <v>6853800</v>
      </c>
      <c r="C724" s="86">
        <v>44159</v>
      </c>
      <c r="D724">
        <v>10.9</v>
      </c>
      <c r="E724" t="s">
        <v>253</v>
      </c>
    </row>
    <row r="725" spans="1:7">
      <c r="A725" s="14" t="s">
        <v>25</v>
      </c>
      <c r="B725">
        <v>6853800</v>
      </c>
      <c r="C725" s="86">
        <v>44160</v>
      </c>
      <c r="D725">
        <v>13.2</v>
      </c>
      <c r="E725" t="s">
        <v>253</v>
      </c>
    </row>
    <row r="726" spans="1:7">
      <c r="A726" s="14" t="s">
        <v>25</v>
      </c>
      <c r="B726">
        <v>6853800</v>
      </c>
      <c r="C726" s="86">
        <v>44161</v>
      </c>
      <c r="D726">
        <v>12.9</v>
      </c>
      <c r="E726" t="s">
        <v>253</v>
      </c>
    </row>
    <row r="727" spans="1:7">
      <c r="A727" s="14" t="s">
        <v>25</v>
      </c>
      <c r="B727">
        <v>6853800</v>
      </c>
      <c r="C727" s="86">
        <v>44162</v>
      </c>
      <c r="D727">
        <v>12.4</v>
      </c>
      <c r="E727" t="s">
        <v>253</v>
      </c>
    </row>
    <row r="728" spans="1:7">
      <c r="A728" s="14" t="s">
        <v>25</v>
      </c>
      <c r="B728">
        <v>6853800</v>
      </c>
      <c r="C728" s="86">
        <v>44163</v>
      </c>
      <c r="D728">
        <v>11.6</v>
      </c>
      <c r="E728" t="s">
        <v>253</v>
      </c>
    </row>
    <row r="729" spans="1:7">
      <c r="A729" s="14" t="s">
        <v>25</v>
      </c>
      <c r="B729">
        <v>6853800</v>
      </c>
      <c r="C729" s="86">
        <v>44164</v>
      </c>
      <c r="D729">
        <v>10.8</v>
      </c>
      <c r="E729" t="s">
        <v>253</v>
      </c>
    </row>
    <row r="730" spans="1:7">
      <c r="A730" s="14" t="s">
        <v>25</v>
      </c>
      <c r="B730">
        <v>6853800</v>
      </c>
      <c r="C730" s="86">
        <v>44165</v>
      </c>
      <c r="D730">
        <v>9.98</v>
      </c>
      <c r="E730" t="s">
        <v>254</v>
      </c>
      <c r="G730">
        <f>AVERAGE(D701:D730)</f>
        <v>10.290666666666668</v>
      </c>
    </row>
    <row r="731" spans="1:7">
      <c r="A731" s="14" t="s">
        <v>25</v>
      </c>
      <c r="B731">
        <v>6853800</v>
      </c>
      <c r="C731" s="86">
        <v>44166</v>
      </c>
      <c r="D731">
        <v>10.4</v>
      </c>
      <c r="E731" t="s">
        <v>254</v>
      </c>
    </row>
    <row r="732" spans="1:7">
      <c r="A732" s="14" t="s">
        <v>25</v>
      </c>
      <c r="B732">
        <v>6853800</v>
      </c>
      <c r="C732" s="86">
        <v>44167</v>
      </c>
      <c r="D732">
        <v>10.4</v>
      </c>
      <c r="E732" t="s">
        <v>254</v>
      </c>
    </row>
    <row r="733" spans="1:7">
      <c r="A733" s="14" t="s">
        <v>25</v>
      </c>
      <c r="B733">
        <v>6853800</v>
      </c>
      <c r="C733" s="86">
        <v>44168</v>
      </c>
      <c r="D733">
        <v>10.6</v>
      </c>
      <c r="E733" t="s">
        <v>254</v>
      </c>
    </row>
    <row r="734" spans="1:7">
      <c r="A734" s="14" t="s">
        <v>25</v>
      </c>
      <c r="B734">
        <v>6853800</v>
      </c>
      <c r="C734" s="86">
        <v>44169</v>
      </c>
      <c r="D734">
        <v>10.9</v>
      </c>
      <c r="E734" t="s">
        <v>254</v>
      </c>
    </row>
    <row r="735" spans="1:7">
      <c r="A735" s="14" t="s">
        <v>25</v>
      </c>
      <c r="B735">
        <v>6853800</v>
      </c>
      <c r="C735" s="86">
        <v>44170</v>
      </c>
      <c r="D735">
        <v>11</v>
      </c>
      <c r="E735" t="s">
        <v>254</v>
      </c>
    </row>
    <row r="736" spans="1:7">
      <c r="A736" s="14" t="s">
        <v>25</v>
      </c>
      <c r="B736">
        <v>6853800</v>
      </c>
      <c r="C736" s="86">
        <v>44171</v>
      </c>
      <c r="D736">
        <v>11.3</v>
      </c>
      <c r="E736" t="s">
        <v>254</v>
      </c>
    </row>
    <row r="737" spans="1:5">
      <c r="A737" s="14" t="s">
        <v>25</v>
      </c>
      <c r="B737">
        <v>6853800</v>
      </c>
      <c r="C737" s="86">
        <v>44172</v>
      </c>
      <c r="D737">
        <v>11.4</v>
      </c>
      <c r="E737" t="s">
        <v>254</v>
      </c>
    </row>
    <row r="738" spans="1:5">
      <c r="A738" s="14" t="s">
        <v>25</v>
      </c>
      <c r="B738">
        <v>6853800</v>
      </c>
      <c r="C738" s="86">
        <v>44173</v>
      </c>
      <c r="D738">
        <v>11.5</v>
      </c>
      <c r="E738" t="s">
        <v>254</v>
      </c>
    </row>
    <row r="739" spans="1:5">
      <c r="A739" s="14" t="s">
        <v>25</v>
      </c>
      <c r="B739">
        <v>6853800</v>
      </c>
      <c r="C739" s="86">
        <v>44174</v>
      </c>
      <c r="D739">
        <v>11.6</v>
      </c>
      <c r="E739" t="s">
        <v>254</v>
      </c>
    </row>
    <row r="740" spans="1:5">
      <c r="A740" s="14" t="s">
        <v>25</v>
      </c>
      <c r="B740">
        <v>6853800</v>
      </c>
      <c r="C740" s="86">
        <v>44175</v>
      </c>
      <c r="D740">
        <v>11.6</v>
      </c>
      <c r="E740" t="s">
        <v>254</v>
      </c>
    </row>
    <row r="741" spans="1:5">
      <c r="A741" s="14" t="s">
        <v>25</v>
      </c>
      <c r="B741">
        <v>6853800</v>
      </c>
      <c r="C741" s="86">
        <v>44176</v>
      </c>
      <c r="D741">
        <v>11.6</v>
      </c>
      <c r="E741" t="s">
        <v>254</v>
      </c>
    </row>
    <row r="742" spans="1:5">
      <c r="A742" s="14" t="s">
        <v>25</v>
      </c>
      <c r="B742">
        <v>6853800</v>
      </c>
      <c r="C742" s="86">
        <v>44177</v>
      </c>
      <c r="D742">
        <v>11.9</v>
      </c>
      <c r="E742" t="s">
        <v>254</v>
      </c>
    </row>
    <row r="743" spans="1:5">
      <c r="A743" s="14" t="s">
        <v>25</v>
      </c>
      <c r="B743">
        <v>6853800</v>
      </c>
      <c r="C743" s="86">
        <v>44178</v>
      </c>
      <c r="D743">
        <v>11.7</v>
      </c>
      <c r="E743" t="s">
        <v>254</v>
      </c>
    </row>
    <row r="744" spans="1:5">
      <c r="A744" s="14" t="s">
        <v>25</v>
      </c>
      <c r="B744">
        <v>6853800</v>
      </c>
      <c r="C744" s="86">
        <v>44179</v>
      </c>
      <c r="D744">
        <v>11.3</v>
      </c>
      <c r="E744" t="s">
        <v>255</v>
      </c>
    </row>
    <row r="745" spans="1:5">
      <c r="A745" s="14" t="s">
        <v>25</v>
      </c>
      <c r="B745">
        <v>6853800</v>
      </c>
      <c r="C745" s="86">
        <v>44180</v>
      </c>
      <c r="D745">
        <v>10.9</v>
      </c>
      <c r="E745" t="s">
        <v>255</v>
      </c>
    </row>
    <row r="746" spans="1:5">
      <c r="A746" s="14" t="s">
        <v>25</v>
      </c>
      <c r="B746">
        <v>6853800</v>
      </c>
      <c r="C746" s="86">
        <v>44181</v>
      </c>
      <c r="D746">
        <v>11.5</v>
      </c>
      <c r="E746" t="s">
        <v>254</v>
      </c>
    </row>
    <row r="747" spans="1:5">
      <c r="A747" s="14" t="s">
        <v>25</v>
      </c>
      <c r="B747">
        <v>6853800</v>
      </c>
      <c r="C747" s="86">
        <v>44182</v>
      </c>
      <c r="D747">
        <v>11.9</v>
      </c>
      <c r="E747" t="s">
        <v>255</v>
      </c>
    </row>
    <row r="748" spans="1:5">
      <c r="A748" s="14" t="s">
        <v>25</v>
      </c>
      <c r="B748">
        <v>6853800</v>
      </c>
      <c r="C748" s="86">
        <v>44183</v>
      </c>
      <c r="D748">
        <v>11.7</v>
      </c>
      <c r="E748" t="s">
        <v>255</v>
      </c>
    </row>
    <row r="749" spans="1:5">
      <c r="A749" s="14" t="s">
        <v>25</v>
      </c>
      <c r="B749">
        <v>6853800</v>
      </c>
      <c r="C749" s="86">
        <v>44184</v>
      </c>
      <c r="D749">
        <v>11.8</v>
      </c>
      <c r="E749" t="s">
        <v>254</v>
      </c>
    </row>
    <row r="750" spans="1:5">
      <c r="A750" s="14" t="s">
        <v>25</v>
      </c>
      <c r="B750">
        <v>6853800</v>
      </c>
      <c r="C750" s="86">
        <v>44185</v>
      </c>
      <c r="D750">
        <v>12.2</v>
      </c>
      <c r="E750" t="s">
        <v>254</v>
      </c>
    </row>
    <row r="751" spans="1:5">
      <c r="A751" s="14" t="s">
        <v>25</v>
      </c>
      <c r="B751">
        <v>6853800</v>
      </c>
      <c r="C751" s="86">
        <v>44186</v>
      </c>
      <c r="D751">
        <v>12.3</v>
      </c>
      <c r="E751" t="s">
        <v>254</v>
      </c>
    </row>
    <row r="752" spans="1:5">
      <c r="A752" s="14" t="s">
        <v>25</v>
      </c>
      <c r="B752">
        <v>6853800</v>
      </c>
      <c r="C752" s="86">
        <v>44187</v>
      </c>
      <c r="D752">
        <v>12.4</v>
      </c>
      <c r="E752" t="s">
        <v>254</v>
      </c>
    </row>
    <row r="753" spans="1:7">
      <c r="A753" s="14" t="s">
        <v>25</v>
      </c>
      <c r="B753">
        <v>6853800</v>
      </c>
      <c r="C753" s="86">
        <v>44188</v>
      </c>
      <c r="D753">
        <v>12</v>
      </c>
      <c r="E753" t="s">
        <v>254</v>
      </c>
    </row>
    <row r="754" spans="1:7">
      <c r="A754" s="14" t="s">
        <v>25</v>
      </c>
      <c r="B754">
        <v>6853800</v>
      </c>
      <c r="C754" s="86">
        <v>44189</v>
      </c>
      <c r="D754">
        <v>10.5</v>
      </c>
      <c r="E754" t="s">
        <v>255</v>
      </c>
    </row>
    <row r="755" spans="1:7">
      <c r="A755" s="14" t="s">
        <v>25</v>
      </c>
      <c r="B755">
        <v>6853800</v>
      </c>
      <c r="C755" s="86">
        <v>44190</v>
      </c>
      <c r="D755">
        <v>11.8</v>
      </c>
      <c r="E755" t="s">
        <v>255</v>
      </c>
    </row>
    <row r="756" spans="1:7">
      <c r="A756" s="14" t="s">
        <v>25</v>
      </c>
      <c r="B756">
        <v>6853800</v>
      </c>
      <c r="C756" s="86">
        <v>44191</v>
      </c>
      <c r="D756">
        <v>11.4</v>
      </c>
      <c r="E756" t="s">
        <v>255</v>
      </c>
    </row>
    <row r="757" spans="1:7">
      <c r="A757" s="14" t="s">
        <v>25</v>
      </c>
      <c r="B757">
        <v>6853800</v>
      </c>
      <c r="C757" s="86">
        <v>44192</v>
      </c>
      <c r="D757">
        <v>11.7</v>
      </c>
      <c r="E757" t="s">
        <v>255</v>
      </c>
    </row>
    <row r="758" spans="1:7">
      <c r="A758" s="14" t="s">
        <v>25</v>
      </c>
      <c r="B758">
        <v>6853800</v>
      </c>
      <c r="C758" s="86">
        <v>44193</v>
      </c>
      <c r="D758">
        <v>12</v>
      </c>
      <c r="E758" t="s">
        <v>255</v>
      </c>
    </row>
    <row r="759" spans="1:7">
      <c r="A759" s="14" t="s">
        <v>25</v>
      </c>
      <c r="B759">
        <v>6853800</v>
      </c>
      <c r="C759" s="86">
        <v>44194</v>
      </c>
      <c r="D759">
        <v>12.2</v>
      </c>
      <c r="E759" t="s">
        <v>254</v>
      </c>
    </row>
    <row r="760" spans="1:7">
      <c r="A760" s="14" t="s">
        <v>25</v>
      </c>
      <c r="B760">
        <v>6853800</v>
      </c>
      <c r="C760" s="86">
        <v>44195</v>
      </c>
      <c r="D760">
        <v>12.3</v>
      </c>
      <c r="E760" t="s">
        <v>255</v>
      </c>
    </row>
    <row r="761" spans="1:7">
      <c r="A761" s="14" t="s">
        <v>25</v>
      </c>
      <c r="B761">
        <v>6853800</v>
      </c>
      <c r="C761" s="86">
        <v>44196</v>
      </c>
      <c r="D761">
        <v>12.4</v>
      </c>
      <c r="E761" t="s">
        <v>255</v>
      </c>
      <c r="G761">
        <f>AVERAGE(D731:D761)</f>
        <v>11.554838709677417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E90E3-F95A-42D9-9E89-E4214B587FA7}">
  <dimension ref="A1:AK43"/>
  <sheetViews>
    <sheetView tabSelected="1" workbookViewId="0">
      <selection activeCell="K48" sqref="K47:K48"/>
    </sheetView>
  </sheetViews>
  <sheetFormatPr defaultRowHeight="13.2"/>
  <sheetData>
    <row r="1" spans="1:37">
      <c r="A1" s="14" t="s">
        <v>318</v>
      </c>
      <c r="B1" t="s">
        <v>319</v>
      </c>
      <c r="M1" s="14" t="s">
        <v>69</v>
      </c>
    </row>
    <row r="2" spans="1:37">
      <c r="A2" s="14" t="s">
        <v>320</v>
      </c>
      <c r="B2" t="s">
        <v>321</v>
      </c>
      <c r="C2" t="s">
        <v>322</v>
      </c>
      <c r="D2" t="s">
        <v>323</v>
      </c>
      <c r="M2" s="14" t="s">
        <v>69</v>
      </c>
    </row>
    <row r="3" spans="1:37">
      <c r="A3" s="14" t="s">
        <v>69</v>
      </c>
      <c r="M3" s="14" t="s">
        <v>69</v>
      </c>
      <c r="N3" t="s">
        <v>345</v>
      </c>
      <c r="O3" t="s">
        <v>346</v>
      </c>
      <c r="P3" t="s">
        <v>347</v>
      </c>
      <c r="Q3" t="s">
        <v>348</v>
      </c>
      <c r="R3" t="s">
        <v>349</v>
      </c>
      <c r="S3" t="s">
        <v>350</v>
      </c>
    </row>
    <row r="4" spans="1:37">
      <c r="A4" s="14" t="s">
        <v>324</v>
      </c>
      <c r="B4" t="s">
        <v>325</v>
      </c>
      <c r="C4" t="s">
        <v>326</v>
      </c>
      <c r="D4" t="s">
        <v>327</v>
      </c>
      <c r="E4" t="s">
        <v>328</v>
      </c>
      <c r="F4" t="s">
        <v>329</v>
      </c>
      <c r="M4" s="14" t="s">
        <v>69</v>
      </c>
      <c r="N4" t="s">
        <v>351</v>
      </c>
      <c r="O4" s="86">
        <v>44651</v>
      </c>
      <c r="P4" s="125">
        <v>0.91339120370370364</v>
      </c>
      <c r="Q4" t="s">
        <v>352</v>
      </c>
      <c r="R4" t="s">
        <v>353</v>
      </c>
    </row>
    <row r="5" spans="1:37">
      <c r="A5" s="14" t="s">
        <v>330</v>
      </c>
      <c r="B5" t="s">
        <v>331</v>
      </c>
      <c r="F5" t="s">
        <v>332</v>
      </c>
      <c r="M5" s="14" t="s">
        <v>69</v>
      </c>
    </row>
    <row r="6" spans="1:37">
      <c r="A6" s="14" t="s">
        <v>315</v>
      </c>
      <c r="B6" t="s">
        <v>333</v>
      </c>
      <c r="C6" t="s">
        <v>334</v>
      </c>
      <c r="D6" t="s">
        <v>335</v>
      </c>
      <c r="E6" t="s">
        <v>336</v>
      </c>
      <c r="F6">
        <v>54716</v>
      </c>
      <c r="M6" s="126" t="s">
        <v>69</v>
      </c>
      <c r="N6" s="127" t="s">
        <v>354</v>
      </c>
      <c r="O6" s="127" t="s">
        <v>355</v>
      </c>
      <c r="P6" s="127" t="s">
        <v>356</v>
      </c>
      <c r="Q6" s="127" t="s">
        <v>25</v>
      </c>
      <c r="R6" s="127" t="s">
        <v>357</v>
      </c>
      <c r="S6" s="127" t="s">
        <v>24</v>
      </c>
      <c r="T6" s="127" t="s">
        <v>358</v>
      </c>
      <c r="U6" s="127"/>
    </row>
    <row r="7" spans="1:37">
      <c r="A7" s="14" t="s">
        <v>69</v>
      </c>
      <c r="M7" s="14" t="s">
        <v>69</v>
      </c>
    </row>
    <row r="8" spans="1:37">
      <c r="A8" s="14" t="s">
        <v>69</v>
      </c>
      <c r="M8" s="14" t="s">
        <v>69</v>
      </c>
      <c r="N8" t="s">
        <v>359</v>
      </c>
      <c r="O8" t="s">
        <v>360</v>
      </c>
      <c r="P8" t="s">
        <v>361</v>
      </c>
      <c r="Q8" t="s">
        <v>362</v>
      </c>
      <c r="R8" t="s">
        <v>363</v>
      </c>
      <c r="S8" t="s">
        <v>364</v>
      </c>
      <c r="T8" t="s">
        <v>365</v>
      </c>
      <c r="U8" t="s">
        <v>366</v>
      </c>
      <c r="V8" t="s">
        <v>344</v>
      </c>
      <c r="W8" t="s">
        <v>367</v>
      </c>
      <c r="X8" t="s">
        <v>368</v>
      </c>
      <c r="Y8" t="s">
        <v>369</v>
      </c>
      <c r="Z8" t="s">
        <v>370</v>
      </c>
      <c r="AA8" t="s">
        <v>46</v>
      </c>
      <c r="AB8" t="s">
        <v>371</v>
      </c>
      <c r="AC8" t="s">
        <v>372</v>
      </c>
      <c r="AD8" t="s">
        <v>373</v>
      </c>
      <c r="AE8" t="s">
        <v>374</v>
      </c>
      <c r="AF8" t="s">
        <v>375</v>
      </c>
      <c r="AG8" t="s">
        <v>376</v>
      </c>
      <c r="AH8" t="s">
        <v>25</v>
      </c>
      <c r="AI8" t="s">
        <v>377</v>
      </c>
      <c r="AJ8" t="s">
        <v>378</v>
      </c>
      <c r="AK8" t="s">
        <v>379</v>
      </c>
    </row>
    <row r="9" spans="1:37">
      <c r="A9" s="14" t="s">
        <v>337</v>
      </c>
      <c r="B9" t="s">
        <v>338</v>
      </c>
      <c r="C9" t="s">
        <v>339</v>
      </c>
      <c r="D9" t="s">
        <v>66</v>
      </c>
      <c r="E9" t="s">
        <v>67</v>
      </c>
      <c r="F9" t="s">
        <v>340</v>
      </c>
      <c r="M9" s="14" t="s">
        <v>69</v>
      </c>
      <c r="N9" t="s">
        <v>380</v>
      </c>
      <c r="O9" t="s">
        <v>381</v>
      </c>
      <c r="P9" t="s">
        <v>382</v>
      </c>
      <c r="Q9" t="s">
        <v>383</v>
      </c>
      <c r="R9" t="s">
        <v>384</v>
      </c>
      <c r="S9" t="s">
        <v>385</v>
      </c>
      <c r="T9" t="s">
        <v>370</v>
      </c>
      <c r="U9" t="s">
        <v>386</v>
      </c>
      <c r="V9" t="s">
        <v>387</v>
      </c>
      <c r="W9" t="s">
        <v>360</v>
      </c>
      <c r="X9" t="s">
        <v>362</v>
      </c>
      <c r="Y9" t="s">
        <v>363</v>
      </c>
      <c r="Z9" t="s">
        <v>388</v>
      </c>
    </row>
    <row r="10" spans="1:37">
      <c r="A10" s="14" t="s">
        <v>70</v>
      </c>
      <c r="B10" t="s">
        <v>341</v>
      </c>
      <c r="C10" t="s">
        <v>73</v>
      </c>
      <c r="D10" t="s">
        <v>342</v>
      </c>
      <c r="E10" t="s">
        <v>74</v>
      </c>
      <c r="M10" s="14" t="s">
        <v>69</v>
      </c>
      <c r="N10" t="s">
        <v>389</v>
      </c>
      <c r="O10" t="s">
        <v>390</v>
      </c>
      <c r="P10" t="s">
        <v>391</v>
      </c>
      <c r="Q10" t="s">
        <v>344</v>
      </c>
      <c r="R10" t="s">
        <v>392</v>
      </c>
      <c r="S10" t="s">
        <v>376</v>
      </c>
      <c r="T10" t="s">
        <v>360</v>
      </c>
      <c r="U10" t="s">
        <v>46</v>
      </c>
      <c r="V10" t="s">
        <v>371</v>
      </c>
      <c r="W10" t="s">
        <v>393</v>
      </c>
      <c r="X10" t="s">
        <v>394</v>
      </c>
      <c r="Y10" t="s">
        <v>395</v>
      </c>
    </row>
    <row r="11" spans="1:37">
      <c r="A11" s="14" t="s">
        <v>25</v>
      </c>
      <c r="B11" t="s">
        <v>343</v>
      </c>
      <c r="C11">
        <v>54716</v>
      </c>
      <c r="D11">
        <v>2020</v>
      </c>
      <c r="E11">
        <v>1</v>
      </c>
      <c r="F11">
        <v>50</v>
      </c>
      <c r="M11" s="14" t="s">
        <v>69</v>
      </c>
    </row>
    <row r="12" spans="1:37">
      <c r="A12" s="14" t="s">
        <v>25</v>
      </c>
      <c r="B12" t="s">
        <v>343</v>
      </c>
      <c r="C12">
        <v>54716</v>
      </c>
      <c r="D12">
        <v>2020</v>
      </c>
      <c r="E12">
        <v>2</v>
      </c>
      <c r="F12">
        <v>30.8</v>
      </c>
      <c r="M12" s="14" t="s">
        <v>69</v>
      </c>
      <c r="N12" t="s">
        <v>396</v>
      </c>
      <c r="O12" t="s">
        <v>397</v>
      </c>
      <c r="P12" t="s">
        <v>398</v>
      </c>
      <c r="Q12" t="s">
        <v>369</v>
      </c>
      <c r="R12" t="s">
        <v>399</v>
      </c>
      <c r="S12" t="s">
        <v>400</v>
      </c>
      <c r="T12" t="s">
        <v>401</v>
      </c>
      <c r="U12" t="s">
        <v>384</v>
      </c>
      <c r="V12" t="s">
        <v>402</v>
      </c>
      <c r="W12" t="s">
        <v>403</v>
      </c>
    </row>
    <row r="13" spans="1:37">
      <c r="A13" s="14" t="s">
        <v>25</v>
      </c>
      <c r="B13" t="s">
        <v>343</v>
      </c>
      <c r="C13">
        <v>54716</v>
      </c>
      <c r="D13">
        <v>2020</v>
      </c>
      <c r="E13">
        <v>3</v>
      </c>
      <c r="F13">
        <v>27.1</v>
      </c>
      <c r="M13" s="14" t="s">
        <v>69</v>
      </c>
    </row>
    <row r="14" spans="1:37">
      <c r="A14" s="14" t="s">
        <v>25</v>
      </c>
      <c r="B14" t="s">
        <v>343</v>
      </c>
      <c r="C14">
        <v>54716</v>
      </c>
      <c r="D14">
        <v>2020</v>
      </c>
      <c r="E14">
        <v>4</v>
      </c>
      <c r="F14">
        <v>22.3</v>
      </c>
      <c r="M14" s="14" t="s">
        <v>69</v>
      </c>
      <c r="N14" t="s">
        <v>354</v>
      </c>
      <c r="O14" t="s">
        <v>355</v>
      </c>
      <c r="P14" t="s">
        <v>404</v>
      </c>
      <c r="Q14" t="s">
        <v>376</v>
      </c>
      <c r="R14" t="s">
        <v>405</v>
      </c>
      <c r="S14" t="s">
        <v>406</v>
      </c>
    </row>
    <row r="15" spans="1:37">
      <c r="A15" s="14" t="s">
        <v>25</v>
      </c>
      <c r="B15" t="s">
        <v>343</v>
      </c>
      <c r="C15">
        <v>54716</v>
      </c>
      <c r="D15">
        <v>2020</v>
      </c>
      <c r="E15">
        <v>5</v>
      </c>
      <c r="F15">
        <v>21.7</v>
      </c>
      <c r="M15" s="14" t="s">
        <v>69</v>
      </c>
    </row>
    <row r="16" spans="1:37">
      <c r="A16" s="14" t="s">
        <v>25</v>
      </c>
      <c r="B16" t="s">
        <v>343</v>
      </c>
      <c r="C16">
        <v>54716</v>
      </c>
      <c r="D16">
        <v>2020</v>
      </c>
      <c r="E16">
        <v>6</v>
      </c>
      <c r="F16">
        <v>10.4</v>
      </c>
      <c r="M16" s="14" t="s">
        <v>69</v>
      </c>
    </row>
    <row r="17" spans="1:24">
      <c r="A17" s="14" t="s">
        <v>25</v>
      </c>
      <c r="B17" t="s">
        <v>343</v>
      </c>
      <c r="C17">
        <v>54716</v>
      </c>
      <c r="D17">
        <v>2020</v>
      </c>
      <c r="E17">
        <v>7</v>
      </c>
      <c r="F17">
        <v>189</v>
      </c>
      <c r="M17" s="14" t="s">
        <v>69</v>
      </c>
      <c r="N17" t="s">
        <v>63</v>
      </c>
      <c r="O17" t="s">
        <v>407</v>
      </c>
      <c r="P17" t="s">
        <v>408</v>
      </c>
    </row>
    <row r="18" spans="1:24">
      <c r="A18" s="14" t="s">
        <v>25</v>
      </c>
      <c r="B18" t="s">
        <v>343</v>
      </c>
      <c r="C18">
        <v>54716</v>
      </c>
      <c r="D18">
        <v>2020</v>
      </c>
      <c r="E18">
        <v>8</v>
      </c>
      <c r="F18">
        <v>20.5</v>
      </c>
      <c r="M18" s="14" t="s">
        <v>69</v>
      </c>
      <c r="N18" t="s">
        <v>64</v>
      </c>
      <c r="O18" t="s">
        <v>25</v>
      </c>
      <c r="P18" t="s">
        <v>364</v>
      </c>
      <c r="Q18" t="s">
        <v>409</v>
      </c>
    </row>
    <row r="19" spans="1:24">
      <c r="A19" s="14" t="s">
        <v>25</v>
      </c>
      <c r="B19" t="s">
        <v>343</v>
      </c>
      <c r="C19">
        <v>54716</v>
      </c>
      <c r="D19">
        <v>2020</v>
      </c>
      <c r="E19">
        <v>9</v>
      </c>
      <c r="F19">
        <v>5.67</v>
      </c>
      <c r="M19" s="14" t="s">
        <v>69</v>
      </c>
      <c r="N19" t="s">
        <v>65</v>
      </c>
    </row>
    <row r="20" spans="1:24">
      <c r="A20" s="14" t="s">
        <v>25</v>
      </c>
      <c r="B20" t="s">
        <v>343</v>
      </c>
      <c r="C20">
        <v>54716</v>
      </c>
      <c r="D20">
        <v>2020</v>
      </c>
      <c r="E20">
        <v>10</v>
      </c>
      <c r="F20">
        <v>5.15</v>
      </c>
      <c r="M20" s="14" t="s">
        <v>69</v>
      </c>
      <c r="N20" t="s">
        <v>66</v>
      </c>
    </row>
    <row r="21" spans="1:24">
      <c r="A21" s="14" t="s">
        <v>25</v>
      </c>
      <c r="B21" t="s">
        <v>343</v>
      </c>
      <c r="C21">
        <v>54716</v>
      </c>
      <c r="D21">
        <v>2020</v>
      </c>
      <c r="E21">
        <v>11</v>
      </c>
      <c r="F21">
        <v>10.3</v>
      </c>
      <c r="M21" s="14" t="s">
        <v>69</v>
      </c>
      <c r="N21" t="s">
        <v>67</v>
      </c>
      <c r="O21" t="s">
        <v>348</v>
      </c>
      <c r="P21" t="s">
        <v>164</v>
      </c>
      <c r="Q21" t="s">
        <v>384</v>
      </c>
      <c r="R21" t="s">
        <v>410</v>
      </c>
    </row>
    <row r="22" spans="1:24">
      <c r="A22" s="14" t="s">
        <v>25</v>
      </c>
      <c r="B22" t="s">
        <v>343</v>
      </c>
      <c r="C22">
        <v>54716</v>
      </c>
      <c r="D22">
        <v>2020</v>
      </c>
      <c r="E22">
        <v>12</v>
      </c>
      <c r="F22">
        <v>11.6</v>
      </c>
      <c r="M22" s="14" t="s">
        <v>69</v>
      </c>
      <c r="N22" t="s">
        <v>68</v>
      </c>
      <c r="O22" t="s">
        <v>411</v>
      </c>
      <c r="P22" t="s">
        <v>412</v>
      </c>
    </row>
    <row r="23" spans="1:24">
      <c r="A23" s="14" t="s">
        <v>25</v>
      </c>
      <c r="B23" t="s">
        <v>343</v>
      </c>
      <c r="C23">
        <v>54716</v>
      </c>
      <c r="D23">
        <v>2021</v>
      </c>
      <c r="E23">
        <v>1</v>
      </c>
      <c r="F23">
        <v>11.9</v>
      </c>
      <c r="M23" s="14" t="s">
        <v>69</v>
      </c>
      <c r="N23" t="s">
        <v>413</v>
      </c>
      <c r="O23" t="s">
        <v>414</v>
      </c>
      <c r="P23" t="s">
        <v>382</v>
      </c>
      <c r="Q23" t="s">
        <v>371</v>
      </c>
      <c r="R23" t="s">
        <v>415</v>
      </c>
      <c r="S23" t="s">
        <v>416</v>
      </c>
    </row>
    <row r="24" spans="1:24">
      <c r="A24" s="14" t="s">
        <v>25</v>
      </c>
      <c r="B24" t="s">
        <v>343</v>
      </c>
      <c r="C24">
        <v>54716</v>
      </c>
      <c r="D24">
        <v>2021</v>
      </c>
      <c r="E24">
        <v>2</v>
      </c>
      <c r="F24">
        <v>14</v>
      </c>
      <c r="M24" s="14" t="s">
        <v>69</v>
      </c>
      <c r="N24" t="s">
        <v>384</v>
      </c>
      <c r="O24" t="s">
        <v>417</v>
      </c>
      <c r="P24" t="s">
        <v>164</v>
      </c>
      <c r="Q24" t="s">
        <v>363</v>
      </c>
      <c r="R24" t="s">
        <v>418</v>
      </c>
      <c r="S24" t="s">
        <v>382</v>
      </c>
      <c r="T24" t="s">
        <v>419</v>
      </c>
    </row>
    <row r="25" spans="1:24">
      <c r="A25" s="14" t="s">
        <v>25</v>
      </c>
      <c r="B25" t="s">
        <v>343</v>
      </c>
      <c r="C25">
        <v>54716</v>
      </c>
      <c r="D25">
        <v>2021</v>
      </c>
      <c r="E25">
        <v>3</v>
      </c>
      <c r="F25">
        <v>67.5</v>
      </c>
      <c r="M25" s="14" t="s">
        <v>69</v>
      </c>
    </row>
    <row r="26" spans="1:24">
      <c r="A26" s="14" t="s">
        <v>25</v>
      </c>
      <c r="B26" t="s">
        <v>343</v>
      </c>
      <c r="C26">
        <v>54716</v>
      </c>
      <c r="D26">
        <v>2021</v>
      </c>
      <c r="E26">
        <v>4</v>
      </c>
      <c r="F26">
        <v>28.5</v>
      </c>
      <c r="M26" s="14" t="s">
        <v>69</v>
      </c>
    </row>
    <row r="27" spans="1:24">
      <c r="A27" s="14" t="s">
        <v>25</v>
      </c>
      <c r="B27" t="s">
        <v>343</v>
      </c>
      <c r="C27">
        <v>54716</v>
      </c>
      <c r="D27">
        <v>2021</v>
      </c>
      <c r="E27">
        <v>5</v>
      </c>
      <c r="F27">
        <v>76.2</v>
      </c>
      <c r="M27" s="14" t="s">
        <v>69</v>
      </c>
      <c r="N27" t="s">
        <v>420</v>
      </c>
      <c r="O27" t="s">
        <v>377</v>
      </c>
      <c r="P27" t="s">
        <v>363</v>
      </c>
      <c r="Q27" t="s">
        <v>355</v>
      </c>
      <c r="R27" t="s">
        <v>421</v>
      </c>
    </row>
    <row r="28" spans="1:24">
      <c r="A28" s="14" t="s">
        <v>25</v>
      </c>
      <c r="B28" t="s">
        <v>343</v>
      </c>
      <c r="C28">
        <v>54716</v>
      </c>
      <c r="D28">
        <v>2021</v>
      </c>
      <c r="E28">
        <v>6</v>
      </c>
      <c r="F28">
        <v>20.8</v>
      </c>
      <c r="M28" s="14" t="s">
        <v>69</v>
      </c>
      <c r="N28" t="s">
        <v>25</v>
      </c>
      <c r="O28">
        <v>6853800</v>
      </c>
      <c r="P28" t="s">
        <v>422</v>
      </c>
      <c r="Q28" t="s">
        <v>423</v>
      </c>
      <c r="R28" t="s">
        <v>424</v>
      </c>
      <c r="S28" t="s">
        <v>425</v>
      </c>
      <c r="T28" t="s">
        <v>322</v>
      </c>
      <c r="U28" t="s">
        <v>426</v>
      </c>
      <c r="V28" t="s">
        <v>239</v>
      </c>
    </row>
    <row r="29" spans="1:24">
      <c r="A29" s="14" t="s">
        <v>25</v>
      </c>
      <c r="B29" t="s">
        <v>343</v>
      </c>
      <c r="C29">
        <v>54716</v>
      </c>
      <c r="D29">
        <v>2021</v>
      </c>
      <c r="E29">
        <v>7</v>
      </c>
      <c r="F29">
        <v>10</v>
      </c>
      <c r="M29" s="14" t="s">
        <v>69</v>
      </c>
    </row>
    <row r="30" spans="1:24">
      <c r="A30" s="14" t="s">
        <v>25</v>
      </c>
      <c r="B30" t="s">
        <v>343</v>
      </c>
      <c r="C30">
        <v>54716</v>
      </c>
      <c r="D30">
        <v>2021</v>
      </c>
      <c r="E30">
        <v>8</v>
      </c>
      <c r="F30">
        <v>34.299999999999997</v>
      </c>
      <c r="M30" s="14" t="s">
        <v>69</v>
      </c>
      <c r="N30" t="s">
        <v>427</v>
      </c>
      <c r="O30" t="s">
        <v>387</v>
      </c>
      <c r="P30" t="s">
        <v>428</v>
      </c>
      <c r="Q30" t="s">
        <v>429</v>
      </c>
      <c r="R30" t="s">
        <v>370</v>
      </c>
      <c r="S30" t="s">
        <v>66</v>
      </c>
      <c r="T30" t="s">
        <v>401</v>
      </c>
      <c r="U30" t="s">
        <v>377</v>
      </c>
      <c r="V30" t="s">
        <v>376</v>
      </c>
      <c r="W30" t="s">
        <v>358</v>
      </c>
      <c r="X30" t="s">
        <v>350</v>
      </c>
    </row>
    <row r="31" spans="1:24">
      <c r="A31" s="14" t="s">
        <v>25</v>
      </c>
      <c r="B31" t="s">
        <v>343</v>
      </c>
      <c r="C31">
        <v>54716</v>
      </c>
      <c r="D31">
        <v>2021</v>
      </c>
      <c r="E31">
        <v>9</v>
      </c>
      <c r="F31">
        <v>6.4</v>
      </c>
      <c r="M31" s="14" t="s">
        <v>69</v>
      </c>
      <c r="N31" t="s">
        <v>65</v>
      </c>
      <c r="O31" t="s">
        <v>428</v>
      </c>
      <c r="P31" t="s">
        <v>430</v>
      </c>
      <c r="Q31" t="s">
        <v>66</v>
      </c>
      <c r="R31" t="s">
        <v>431</v>
      </c>
      <c r="S31" t="s">
        <v>430</v>
      </c>
    </row>
    <row r="32" spans="1:24">
      <c r="A32" s="14" t="s">
        <v>25</v>
      </c>
      <c r="B32" t="s">
        <v>343</v>
      </c>
      <c r="C32">
        <v>54716</v>
      </c>
      <c r="D32">
        <v>2021</v>
      </c>
      <c r="E32">
        <v>10</v>
      </c>
      <c r="F32">
        <v>4.6900000000000004</v>
      </c>
      <c r="M32" s="14" t="s">
        <v>69</v>
      </c>
      <c r="N32">
        <v>60</v>
      </c>
      <c r="O32" t="s">
        <v>432</v>
      </c>
      <c r="P32" t="s">
        <v>433</v>
      </c>
      <c r="Q32" t="s">
        <v>334</v>
      </c>
      <c r="R32" t="s">
        <v>434</v>
      </c>
      <c r="S32" t="s">
        <v>435</v>
      </c>
      <c r="T32">
        <v>54716</v>
      </c>
    </row>
    <row r="33" spans="1:18">
      <c r="A33" s="14" t="s">
        <v>25</v>
      </c>
      <c r="B33" t="s">
        <v>343</v>
      </c>
      <c r="C33">
        <v>54716</v>
      </c>
      <c r="D33">
        <v>2021</v>
      </c>
      <c r="E33">
        <v>11</v>
      </c>
      <c r="F33">
        <v>6.59</v>
      </c>
      <c r="M33" s="14" t="s">
        <v>69</v>
      </c>
    </row>
    <row r="34" spans="1:18">
      <c r="A34" s="14" t="s">
        <v>25</v>
      </c>
      <c r="B34" t="s">
        <v>343</v>
      </c>
      <c r="C34">
        <v>54716</v>
      </c>
      <c r="D34">
        <v>2021</v>
      </c>
      <c r="E34">
        <v>12</v>
      </c>
      <c r="F34">
        <v>7.75</v>
      </c>
      <c r="M34" s="14" t="s">
        <v>69</v>
      </c>
    </row>
    <row r="35" spans="1:18">
      <c r="M35" s="14" t="s">
        <v>63</v>
      </c>
      <c r="N35" t="s">
        <v>64</v>
      </c>
      <c r="O35" t="s">
        <v>65</v>
      </c>
      <c r="P35" t="s">
        <v>66</v>
      </c>
      <c r="Q35" t="s">
        <v>67</v>
      </c>
      <c r="R35" t="s">
        <v>68</v>
      </c>
    </row>
    <row r="36" spans="1:18">
      <c r="M36" s="14" t="s">
        <v>70</v>
      </c>
      <c r="N36" t="s">
        <v>71</v>
      </c>
      <c r="O36" t="s">
        <v>70</v>
      </c>
      <c r="P36" t="s">
        <v>72</v>
      </c>
      <c r="Q36" t="s">
        <v>73</v>
      </c>
      <c r="R36" t="s">
        <v>74</v>
      </c>
    </row>
    <row r="37" spans="1:18">
      <c r="M37" s="14" t="s">
        <v>25</v>
      </c>
      <c r="N37">
        <v>6853800</v>
      </c>
      <c r="O37">
        <v>60</v>
      </c>
      <c r="P37">
        <v>54716</v>
      </c>
      <c r="Q37">
        <v>2015</v>
      </c>
      <c r="R37">
        <v>19.7</v>
      </c>
    </row>
    <row r="38" spans="1:18">
      <c r="M38" s="14" t="s">
        <v>25</v>
      </c>
      <c r="N38">
        <v>6853800</v>
      </c>
      <c r="O38">
        <v>60</v>
      </c>
      <c r="P38">
        <v>54716</v>
      </c>
      <c r="Q38">
        <v>2016</v>
      </c>
      <c r="R38">
        <v>13.3</v>
      </c>
    </row>
    <row r="39" spans="1:18">
      <c r="M39" s="14" t="s">
        <v>25</v>
      </c>
      <c r="N39">
        <v>6853800</v>
      </c>
      <c r="O39">
        <v>60</v>
      </c>
      <c r="P39">
        <v>54716</v>
      </c>
      <c r="Q39">
        <v>2017</v>
      </c>
      <c r="R39">
        <v>26.2</v>
      </c>
    </row>
    <row r="40" spans="1:18">
      <c r="M40" s="14" t="s">
        <v>25</v>
      </c>
      <c r="N40">
        <v>6853800</v>
      </c>
      <c r="O40">
        <v>60</v>
      </c>
      <c r="P40">
        <v>54716</v>
      </c>
      <c r="Q40">
        <v>2018</v>
      </c>
      <c r="R40">
        <v>17.8</v>
      </c>
    </row>
    <row r="41" spans="1:18">
      <c r="M41" s="14" t="s">
        <v>25</v>
      </c>
      <c r="N41">
        <v>6853800</v>
      </c>
      <c r="O41">
        <v>60</v>
      </c>
      <c r="P41">
        <v>54716</v>
      </c>
      <c r="Q41">
        <v>2019</v>
      </c>
      <c r="R41">
        <v>78.3</v>
      </c>
    </row>
    <row r="42" spans="1:18">
      <c r="M42" s="14" t="s">
        <v>25</v>
      </c>
      <c r="N42">
        <v>6853800</v>
      </c>
      <c r="O42">
        <v>60</v>
      </c>
      <c r="P42">
        <v>54716</v>
      </c>
      <c r="Q42">
        <v>2020</v>
      </c>
      <c r="R42">
        <v>39.9</v>
      </c>
    </row>
    <row r="43" spans="1:18">
      <c r="M43" s="14" t="s">
        <v>25</v>
      </c>
      <c r="N43">
        <v>6853800</v>
      </c>
      <c r="O43">
        <v>60</v>
      </c>
      <c r="P43">
        <v>54716</v>
      </c>
      <c r="Q43">
        <v>2021</v>
      </c>
      <c r="R43">
        <v>24.9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64"/>
  <sheetViews>
    <sheetView topLeftCell="A31" workbookViewId="0">
      <selection activeCell="C79" sqref="C79"/>
    </sheetView>
  </sheetViews>
  <sheetFormatPr defaultRowHeight="13.2"/>
  <sheetData>
    <row r="1" spans="1:16">
      <c r="A1" s="10" t="s">
        <v>149</v>
      </c>
      <c r="B1">
        <v>31</v>
      </c>
      <c r="C1">
        <v>28.25</v>
      </c>
      <c r="D1">
        <v>31</v>
      </c>
      <c r="E1">
        <v>30</v>
      </c>
      <c r="F1">
        <v>31</v>
      </c>
      <c r="G1">
        <v>30</v>
      </c>
      <c r="H1">
        <v>31</v>
      </c>
      <c r="I1">
        <v>31</v>
      </c>
      <c r="J1">
        <v>30</v>
      </c>
      <c r="K1">
        <v>31</v>
      </c>
      <c r="L1">
        <v>30</v>
      </c>
      <c r="M1">
        <v>31</v>
      </c>
      <c r="O1">
        <f>24*3600</f>
        <v>86400</v>
      </c>
      <c r="P1" s="10" t="s">
        <v>40</v>
      </c>
    </row>
    <row r="2" spans="1:16">
      <c r="A2" t="s">
        <v>23</v>
      </c>
      <c r="N2" t="s">
        <v>24</v>
      </c>
      <c r="O2">
        <f>5280^2/640</f>
        <v>43560</v>
      </c>
      <c r="P2" s="10" t="s">
        <v>150</v>
      </c>
    </row>
    <row r="3" spans="1:16" ht="15.6">
      <c r="A3" s="119" t="s">
        <v>5</v>
      </c>
      <c r="B3" s="121" t="s">
        <v>6</v>
      </c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3"/>
      <c r="N3" t="s">
        <v>2</v>
      </c>
      <c r="O3">
        <f>O1/O2</f>
        <v>1.9834710743801653</v>
      </c>
      <c r="P3" s="10" t="s">
        <v>44</v>
      </c>
    </row>
    <row r="4" spans="1:16">
      <c r="A4" s="120"/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  <c r="I4" s="2" t="s">
        <v>14</v>
      </c>
      <c r="J4" s="2" t="s">
        <v>15</v>
      </c>
      <c r="K4" s="2" t="s">
        <v>16</v>
      </c>
      <c r="L4" s="2" t="s">
        <v>17</v>
      </c>
      <c r="M4" s="2" t="s">
        <v>18</v>
      </c>
      <c r="N4" s="56" t="s">
        <v>151</v>
      </c>
    </row>
    <row r="5" spans="1:16">
      <c r="A5" s="2">
        <v>1946</v>
      </c>
      <c r="B5" s="3"/>
      <c r="C5" s="3"/>
      <c r="D5" s="3"/>
      <c r="E5" s="3"/>
      <c r="F5" s="3">
        <v>5.37</v>
      </c>
      <c r="G5" s="3">
        <v>41.9</v>
      </c>
      <c r="H5" s="3">
        <v>97</v>
      </c>
      <c r="I5" s="3">
        <v>0.55000000000000004</v>
      </c>
      <c r="J5" s="3">
        <v>246</v>
      </c>
      <c r="K5" s="3">
        <v>39.200000000000003</v>
      </c>
      <c r="L5" s="3">
        <v>76</v>
      </c>
      <c r="M5" s="3">
        <v>6.98</v>
      </c>
    </row>
    <row r="6" spans="1:16">
      <c r="A6" s="2">
        <v>1947</v>
      </c>
      <c r="B6" s="3">
        <v>5.03</v>
      </c>
      <c r="C6" s="3">
        <v>9.42</v>
      </c>
      <c r="D6" s="3">
        <v>15.6</v>
      </c>
      <c r="E6" s="3">
        <v>169</v>
      </c>
      <c r="F6" s="3">
        <v>27.7</v>
      </c>
      <c r="G6" s="3">
        <v>444</v>
      </c>
      <c r="H6" s="3">
        <v>24.1</v>
      </c>
      <c r="I6" s="3">
        <v>6.17</v>
      </c>
      <c r="J6" s="3">
        <v>1.82</v>
      </c>
      <c r="K6" s="3">
        <v>2.9</v>
      </c>
      <c r="L6" s="3">
        <v>3.48</v>
      </c>
      <c r="M6" s="3">
        <v>4.03</v>
      </c>
      <c r="N6" s="9">
        <f>$O$3*SUMPRODUCT($B$1:$M$1,$B6:$M6)</f>
        <v>42578.271074380173</v>
      </c>
    </row>
    <row r="7" spans="1:16">
      <c r="A7" s="2">
        <v>1948</v>
      </c>
      <c r="B7" s="3">
        <v>3.77</v>
      </c>
      <c r="C7" s="3">
        <v>71.099999999999994</v>
      </c>
      <c r="D7" s="3">
        <v>113</v>
      </c>
      <c r="E7" s="3">
        <v>5.82</v>
      </c>
      <c r="F7" s="3">
        <v>6.72</v>
      </c>
      <c r="G7" s="3">
        <v>25.5</v>
      </c>
      <c r="H7" s="3">
        <v>66</v>
      </c>
      <c r="I7" s="3">
        <v>15.3</v>
      </c>
      <c r="J7" s="3">
        <v>0.21</v>
      </c>
      <c r="K7" s="3">
        <v>0</v>
      </c>
      <c r="L7" s="3">
        <v>0.9</v>
      </c>
      <c r="M7" s="3">
        <v>0.69</v>
      </c>
      <c r="N7" s="9">
        <f t="shared" ref="N7:N61" si="0">$O$3*SUMPRODUCT($B$1:$M$1,$B7:$M7)</f>
        <v>18548.142148760326</v>
      </c>
    </row>
    <row r="8" spans="1:16">
      <c r="A8" s="2">
        <v>1949</v>
      </c>
      <c r="B8" s="3">
        <v>15.3</v>
      </c>
      <c r="C8" s="3">
        <v>282</v>
      </c>
      <c r="D8" s="3">
        <v>83.4</v>
      </c>
      <c r="E8" s="3">
        <v>6.83</v>
      </c>
      <c r="F8" s="3">
        <v>193</v>
      </c>
      <c r="G8" s="3">
        <v>368</v>
      </c>
      <c r="H8" s="3">
        <v>17.7</v>
      </c>
      <c r="I8" s="3">
        <v>4.51</v>
      </c>
      <c r="J8" s="3">
        <v>36.6</v>
      </c>
      <c r="K8" s="3">
        <v>127</v>
      </c>
      <c r="L8" s="3">
        <v>3.9</v>
      </c>
      <c r="M8" s="3">
        <v>4.7</v>
      </c>
      <c r="N8" s="9">
        <f t="shared" si="0"/>
        <v>67914.664462809917</v>
      </c>
    </row>
    <row r="9" spans="1:16">
      <c r="A9" s="2">
        <v>1950</v>
      </c>
      <c r="B9" s="3">
        <v>3.52</v>
      </c>
      <c r="C9" s="3">
        <v>3.75</v>
      </c>
      <c r="D9" s="3">
        <v>5.42</v>
      </c>
      <c r="E9" s="3">
        <v>3.05</v>
      </c>
      <c r="F9" s="3">
        <v>125</v>
      </c>
      <c r="G9" s="3">
        <v>6.77</v>
      </c>
      <c r="H9" s="3">
        <v>925</v>
      </c>
      <c r="I9" s="3">
        <v>198</v>
      </c>
      <c r="J9" s="3">
        <v>151</v>
      </c>
      <c r="K9" s="3">
        <v>182</v>
      </c>
      <c r="L9" s="3">
        <v>12.9</v>
      </c>
      <c r="M9" s="3">
        <v>9.68</v>
      </c>
      <c r="N9" s="9">
        <f t="shared" si="0"/>
        <v>99619.353719008272</v>
      </c>
    </row>
    <row r="10" spans="1:16">
      <c r="A10" s="2">
        <v>1951</v>
      </c>
      <c r="B10" s="3">
        <v>8.61</v>
      </c>
      <c r="C10" s="3">
        <v>23.4</v>
      </c>
      <c r="D10" s="3">
        <v>51.6</v>
      </c>
      <c r="E10" s="3">
        <v>78.400000000000006</v>
      </c>
      <c r="F10" s="3">
        <v>139</v>
      </c>
      <c r="G10" s="3">
        <v>856</v>
      </c>
      <c r="H10" s="3">
        <v>610</v>
      </c>
      <c r="I10" s="3">
        <v>154</v>
      </c>
      <c r="J10" s="3">
        <v>165</v>
      </c>
      <c r="K10" s="3">
        <v>50.9</v>
      </c>
      <c r="L10" s="3">
        <v>27.5</v>
      </c>
      <c r="M10" s="3">
        <v>24.2</v>
      </c>
      <c r="N10" s="9">
        <f t="shared" si="0"/>
        <v>132209.57355371898</v>
      </c>
    </row>
    <row r="11" spans="1:16">
      <c r="A11" s="2">
        <v>1952</v>
      </c>
      <c r="B11" s="3">
        <v>22.6</v>
      </c>
      <c r="C11" s="3">
        <v>22.3</v>
      </c>
      <c r="D11" s="3">
        <v>57.4</v>
      </c>
      <c r="E11" s="3">
        <v>108</v>
      </c>
      <c r="F11" s="3">
        <v>95.3</v>
      </c>
      <c r="G11" s="3">
        <v>65.7</v>
      </c>
      <c r="H11" s="3">
        <v>23.5</v>
      </c>
      <c r="I11" s="3">
        <v>6.1</v>
      </c>
      <c r="J11" s="3">
        <v>4.62</v>
      </c>
      <c r="K11" s="3">
        <v>4.67</v>
      </c>
      <c r="L11" s="3">
        <v>8.77</v>
      </c>
      <c r="M11" s="3">
        <v>8.24</v>
      </c>
      <c r="N11" s="9">
        <f t="shared" si="0"/>
        <v>25774.780165289259</v>
      </c>
    </row>
    <row r="12" spans="1:16">
      <c r="A12" s="2">
        <v>1953</v>
      </c>
      <c r="B12" s="3">
        <v>9.76</v>
      </c>
      <c r="C12" s="3">
        <v>9.91</v>
      </c>
      <c r="D12" s="3">
        <v>8.11</v>
      </c>
      <c r="E12" s="3">
        <v>8</v>
      </c>
      <c r="F12" s="3">
        <v>29.6</v>
      </c>
      <c r="G12" s="3">
        <v>74.5</v>
      </c>
      <c r="H12" s="3">
        <v>0.14000000000000001</v>
      </c>
      <c r="I12" s="3">
        <v>2.1</v>
      </c>
      <c r="J12" s="3">
        <v>72.900000000000006</v>
      </c>
      <c r="K12" s="3">
        <v>13.5</v>
      </c>
      <c r="L12" s="3">
        <v>8.5299999999999994</v>
      </c>
      <c r="M12" s="3">
        <v>24.5</v>
      </c>
      <c r="N12" s="9">
        <f t="shared" si="0"/>
        <v>15702.877685950414</v>
      </c>
    </row>
    <row r="13" spans="1:16">
      <c r="A13" s="2">
        <v>1954</v>
      </c>
      <c r="B13" s="3">
        <v>1.1200000000000001</v>
      </c>
      <c r="C13" s="3">
        <v>4.0999999999999996</v>
      </c>
      <c r="D13" s="3">
        <v>2.5</v>
      </c>
      <c r="E13" s="3">
        <v>3.68</v>
      </c>
      <c r="F13" s="3">
        <v>194</v>
      </c>
      <c r="G13" s="3">
        <v>82.5</v>
      </c>
      <c r="H13" s="3">
        <v>1.69</v>
      </c>
      <c r="I13" s="3">
        <v>22.9</v>
      </c>
      <c r="J13" s="3">
        <v>8.34</v>
      </c>
      <c r="K13" s="3">
        <v>25.6</v>
      </c>
      <c r="L13" s="3">
        <v>0.56000000000000005</v>
      </c>
      <c r="M13" s="3">
        <v>1.26</v>
      </c>
      <c r="N13" s="9">
        <f t="shared" si="0"/>
        <v>21202.105785123964</v>
      </c>
    </row>
    <row r="14" spans="1:16">
      <c r="A14" s="2">
        <v>1955</v>
      </c>
      <c r="B14" s="3">
        <v>1.36</v>
      </c>
      <c r="C14" s="3">
        <v>79.7</v>
      </c>
      <c r="D14" s="3">
        <v>3.75</v>
      </c>
      <c r="E14" s="3">
        <v>1.2</v>
      </c>
      <c r="F14" s="3">
        <v>1.43</v>
      </c>
      <c r="G14" s="3">
        <v>307</v>
      </c>
      <c r="H14" s="3">
        <v>11.9</v>
      </c>
      <c r="I14" s="3">
        <v>0.15</v>
      </c>
      <c r="J14" s="3">
        <v>45.5</v>
      </c>
      <c r="K14" s="3">
        <v>0.7</v>
      </c>
      <c r="L14" s="3">
        <v>0</v>
      </c>
      <c r="M14" s="3">
        <v>0</v>
      </c>
      <c r="N14" s="9">
        <f t="shared" si="0"/>
        <v>26698.542148760331</v>
      </c>
    </row>
    <row r="15" spans="1:16">
      <c r="A15" s="2">
        <v>1956</v>
      </c>
      <c r="B15" s="3">
        <v>0</v>
      </c>
      <c r="C15" s="3">
        <v>8.19</v>
      </c>
      <c r="D15" s="3">
        <v>0.28000000000000003</v>
      </c>
      <c r="E15" s="3">
        <v>1.78</v>
      </c>
      <c r="F15" s="3">
        <v>1.61</v>
      </c>
      <c r="G15" s="3">
        <v>325</v>
      </c>
      <c r="H15" s="3">
        <v>219</v>
      </c>
      <c r="I15" s="3">
        <v>5.53</v>
      </c>
      <c r="J15" s="3">
        <v>1.51</v>
      </c>
      <c r="K15" s="3">
        <v>0.16</v>
      </c>
      <c r="L15" s="3">
        <v>0.31</v>
      </c>
      <c r="M15" s="3">
        <v>6.0000000000000001E-3</v>
      </c>
      <c r="N15" s="9">
        <f t="shared" si="0"/>
        <v>33944.198677685948</v>
      </c>
    </row>
    <row r="16" spans="1:16">
      <c r="A16" s="2">
        <v>1957</v>
      </c>
      <c r="B16" s="3">
        <v>0</v>
      </c>
      <c r="C16" s="3">
        <v>0</v>
      </c>
      <c r="D16" s="3">
        <v>3.31</v>
      </c>
      <c r="E16" s="3">
        <v>23.1</v>
      </c>
      <c r="F16" s="3">
        <v>142</v>
      </c>
      <c r="G16" s="3">
        <v>297</v>
      </c>
      <c r="H16" s="3">
        <v>118</v>
      </c>
      <c r="I16" s="3">
        <v>19.8</v>
      </c>
      <c r="J16" s="3">
        <v>14.9</v>
      </c>
      <c r="K16" s="3">
        <v>0</v>
      </c>
      <c r="L16" s="3">
        <v>0</v>
      </c>
      <c r="M16" s="3">
        <v>0</v>
      </c>
      <c r="N16" s="9">
        <f t="shared" si="0"/>
        <v>37341.639669421485</v>
      </c>
    </row>
    <row r="17" spans="1:14">
      <c r="A17" s="2">
        <v>1958</v>
      </c>
      <c r="B17" s="3">
        <v>0</v>
      </c>
      <c r="C17" s="3">
        <v>0.1</v>
      </c>
      <c r="D17" s="3">
        <v>0.74</v>
      </c>
      <c r="E17" s="3">
        <v>0.66</v>
      </c>
      <c r="F17" s="3">
        <v>0.53</v>
      </c>
      <c r="G17" s="3">
        <v>0.72</v>
      </c>
      <c r="H17" s="3">
        <v>3.6</v>
      </c>
      <c r="I17" s="3">
        <v>2.59</v>
      </c>
      <c r="J17" s="3">
        <v>205</v>
      </c>
      <c r="K17" s="3">
        <v>1.9</v>
      </c>
      <c r="L17" s="3">
        <v>0.09</v>
      </c>
      <c r="M17" s="3">
        <v>0.46</v>
      </c>
      <c r="N17" s="9">
        <f t="shared" si="0"/>
        <v>12895.229752066114</v>
      </c>
    </row>
    <row r="18" spans="1:14">
      <c r="A18" s="2">
        <v>1959</v>
      </c>
      <c r="B18" s="3">
        <v>0.1</v>
      </c>
      <c r="C18" s="3">
        <v>5.1100000000000003</v>
      </c>
      <c r="D18" s="3">
        <v>1.52</v>
      </c>
      <c r="E18" s="3">
        <v>1.25</v>
      </c>
      <c r="F18" s="3">
        <v>152</v>
      </c>
      <c r="G18" s="3">
        <v>55.9</v>
      </c>
      <c r="H18" s="3">
        <v>0.43</v>
      </c>
      <c r="I18" s="3">
        <v>0.15</v>
      </c>
      <c r="J18" s="3">
        <v>0.36</v>
      </c>
      <c r="K18" s="3">
        <v>2.09</v>
      </c>
      <c r="L18" s="3">
        <v>0.1</v>
      </c>
      <c r="M18" s="3">
        <v>0.12</v>
      </c>
      <c r="N18" s="9">
        <f t="shared" si="0"/>
        <v>13331.638016528927</v>
      </c>
    </row>
    <row r="19" spans="1:14">
      <c r="A19" s="2">
        <v>1960</v>
      </c>
      <c r="B19" s="3">
        <v>0.09</v>
      </c>
      <c r="C19" s="3">
        <v>28.8</v>
      </c>
      <c r="D19" s="3">
        <v>29.5</v>
      </c>
      <c r="E19" s="3">
        <v>155</v>
      </c>
      <c r="F19" s="3">
        <v>56.8</v>
      </c>
      <c r="G19" s="3">
        <v>81.599999999999994</v>
      </c>
      <c r="H19" s="3">
        <v>101</v>
      </c>
      <c r="I19" s="3">
        <v>26.8</v>
      </c>
      <c r="J19" s="3">
        <v>45.8</v>
      </c>
      <c r="K19" s="3">
        <v>0.13</v>
      </c>
      <c r="L19" s="3">
        <v>0.17</v>
      </c>
      <c r="M19" s="3">
        <v>0.12</v>
      </c>
      <c r="N19" s="9">
        <f t="shared" si="0"/>
        <v>31613.236363636363</v>
      </c>
    </row>
    <row r="20" spans="1:14">
      <c r="A20" s="2">
        <v>1961</v>
      </c>
      <c r="B20" s="3">
        <v>0.12</v>
      </c>
      <c r="C20" s="3">
        <v>0.14000000000000001</v>
      </c>
      <c r="D20" s="3">
        <v>0.19</v>
      </c>
      <c r="E20" s="3">
        <v>0.17</v>
      </c>
      <c r="F20" s="3">
        <v>0.42</v>
      </c>
      <c r="G20" s="3">
        <v>369</v>
      </c>
      <c r="H20" s="3">
        <v>6.07</v>
      </c>
      <c r="I20" s="3">
        <v>4.3499999999999996</v>
      </c>
      <c r="J20" s="3">
        <v>2.4700000000000002</v>
      </c>
      <c r="K20" s="3">
        <v>57.4</v>
      </c>
      <c r="L20" s="3">
        <v>15.2</v>
      </c>
      <c r="M20" s="3">
        <v>17</v>
      </c>
      <c r="N20" s="9">
        <f t="shared" si="0"/>
        <v>28286.687603305785</v>
      </c>
    </row>
    <row r="21" spans="1:14">
      <c r="A21" s="2">
        <v>1962</v>
      </c>
      <c r="B21" s="3">
        <v>20.8</v>
      </c>
      <c r="C21" s="3">
        <v>162</v>
      </c>
      <c r="D21" s="3">
        <v>49.8</v>
      </c>
      <c r="E21" s="3">
        <v>12.9</v>
      </c>
      <c r="F21" s="3">
        <v>28</v>
      </c>
      <c r="G21" s="3">
        <v>233</v>
      </c>
      <c r="H21" s="3">
        <v>66.599999999999994</v>
      </c>
      <c r="I21" s="3">
        <v>6.91</v>
      </c>
      <c r="J21" s="3">
        <v>24.9</v>
      </c>
      <c r="K21" s="3">
        <v>109</v>
      </c>
      <c r="L21" s="3">
        <v>10.4</v>
      </c>
      <c r="M21" s="3">
        <v>25.2</v>
      </c>
      <c r="N21" s="9">
        <f t="shared" si="0"/>
        <v>44644.185123966941</v>
      </c>
    </row>
    <row r="22" spans="1:14">
      <c r="A22" s="2">
        <v>1963</v>
      </c>
      <c r="B22" s="3">
        <v>21.2</v>
      </c>
      <c r="C22" s="3">
        <v>23.6</v>
      </c>
      <c r="D22" s="3">
        <v>27.5</v>
      </c>
      <c r="E22" s="3">
        <v>3.61</v>
      </c>
      <c r="F22" s="3">
        <v>0.39</v>
      </c>
      <c r="G22" s="3">
        <v>0.92</v>
      </c>
      <c r="H22" s="3">
        <v>0.56999999999999995</v>
      </c>
      <c r="I22" s="3">
        <v>0.5</v>
      </c>
      <c r="J22" s="3">
        <v>138</v>
      </c>
      <c r="K22" s="3">
        <v>32</v>
      </c>
      <c r="L22" s="3">
        <v>0.19</v>
      </c>
      <c r="M22" s="3">
        <v>0.21</v>
      </c>
      <c r="N22" s="9">
        <f t="shared" si="0"/>
        <v>14879.543801652893</v>
      </c>
    </row>
    <row r="23" spans="1:14">
      <c r="A23" s="2">
        <v>1964</v>
      </c>
      <c r="B23" s="3">
        <v>0.1</v>
      </c>
      <c r="C23" s="3">
        <v>0.31</v>
      </c>
      <c r="D23" s="3">
        <v>10.4</v>
      </c>
      <c r="E23" s="3">
        <v>0.19</v>
      </c>
      <c r="F23" s="3">
        <v>73.900000000000006</v>
      </c>
      <c r="G23" s="3">
        <v>0.32</v>
      </c>
      <c r="H23" s="3">
        <v>0.51</v>
      </c>
      <c r="I23" s="3">
        <v>0.3</v>
      </c>
      <c r="J23" s="3">
        <v>142</v>
      </c>
      <c r="K23" s="3">
        <v>1.54</v>
      </c>
      <c r="L23" s="3">
        <v>0.27</v>
      </c>
      <c r="M23" s="3">
        <v>0.13</v>
      </c>
      <c r="N23" s="9">
        <f t="shared" si="0"/>
        <v>13855.413223140496</v>
      </c>
    </row>
    <row r="24" spans="1:14">
      <c r="A24" s="2">
        <v>1965</v>
      </c>
      <c r="B24" s="3">
        <v>0.18</v>
      </c>
      <c r="C24" s="3">
        <v>0.21</v>
      </c>
      <c r="D24" s="3">
        <v>137</v>
      </c>
      <c r="E24" s="3">
        <v>57.5</v>
      </c>
      <c r="F24" s="3">
        <v>0.17</v>
      </c>
      <c r="G24" s="3">
        <v>300</v>
      </c>
      <c r="H24" s="3">
        <v>70.2</v>
      </c>
      <c r="I24" s="3">
        <v>0.37</v>
      </c>
      <c r="J24" s="3">
        <v>57.5</v>
      </c>
      <c r="K24" s="3">
        <v>103</v>
      </c>
      <c r="L24" s="3">
        <v>24.9</v>
      </c>
      <c r="M24" s="3">
        <v>0.27</v>
      </c>
      <c r="N24" s="9">
        <f t="shared" si="0"/>
        <v>45321.961983471083</v>
      </c>
    </row>
    <row r="25" spans="1:14">
      <c r="A25" s="2">
        <v>1966</v>
      </c>
      <c r="B25" s="3">
        <v>0.24</v>
      </c>
      <c r="C25" s="3">
        <v>34.9</v>
      </c>
      <c r="D25" s="3">
        <v>4.07</v>
      </c>
      <c r="E25" s="3">
        <v>0.67</v>
      </c>
      <c r="F25" s="3">
        <v>2.0499999999999998</v>
      </c>
      <c r="G25" s="3">
        <v>21.9</v>
      </c>
      <c r="H25" s="3">
        <v>0.72</v>
      </c>
      <c r="I25" s="3">
        <v>89.5</v>
      </c>
      <c r="J25" s="3">
        <v>0.4</v>
      </c>
      <c r="K25" s="3">
        <v>0.28999999999999998</v>
      </c>
      <c r="L25" s="3">
        <v>0.55000000000000004</v>
      </c>
      <c r="M25" s="3">
        <v>1.9E-2</v>
      </c>
      <c r="N25" s="9">
        <f t="shared" si="0"/>
        <v>9312.5633057851246</v>
      </c>
    </row>
    <row r="26" spans="1:14">
      <c r="A26" s="2">
        <v>1967</v>
      </c>
      <c r="B26" s="3">
        <v>0.1</v>
      </c>
      <c r="C26" s="3">
        <v>8.7999999999999995E-2</v>
      </c>
      <c r="D26" s="3">
        <v>0.28999999999999998</v>
      </c>
      <c r="E26" s="3">
        <v>0.53</v>
      </c>
      <c r="F26" s="3">
        <v>0.9</v>
      </c>
      <c r="G26" s="3">
        <v>273</v>
      </c>
      <c r="H26" s="3">
        <v>10.3</v>
      </c>
      <c r="I26" s="3">
        <v>0.37</v>
      </c>
      <c r="J26" s="3">
        <v>55.8</v>
      </c>
      <c r="K26" s="3">
        <v>0.22</v>
      </c>
      <c r="L26" s="3">
        <v>0.48</v>
      </c>
      <c r="M26" s="3">
        <v>0.3</v>
      </c>
      <c r="N26" s="9">
        <f t="shared" si="0"/>
        <v>20397.354049586771</v>
      </c>
    </row>
    <row r="27" spans="1:14">
      <c r="A27" s="2">
        <v>1968</v>
      </c>
      <c r="B27" s="3">
        <v>0.15</v>
      </c>
      <c r="C27" s="3">
        <v>0.22</v>
      </c>
      <c r="D27" s="3">
        <v>0.22</v>
      </c>
      <c r="E27" s="3">
        <v>0.28000000000000003</v>
      </c>
      <c r="F27" s="3">
        <v>0.3</v>
      </c>
      <c r="G27" s="3">
        <v>25.7</v>
      </c>
      <c r="H27" s="3">
        <v>0.75</v>
      </c>
      <c r="I27" s="3">
        <v>1.85</v>
      </c>
      <c r="J27" s="3">
        <v>339</v>
      </c>
      <c r="K27" s="3">
        <v>24.8</v>
      </c>
      <c r="L27" s="3">
        <v>40.299999999999997</v>
      </c>
      <c r="M27" s="3">
        <v>0.19</v>
      </c>
      <c r="N27" s="9">
        <f t="shared" si="0"/>
        <v>25865.801652892562</v>
      </c>
    </row>
    <row r="28" spans="1:14">
      <c r="A28" s="2">
        <v>1969</v>
      </c>
      <c r="B28" s="3">
        <v>0.15</v>
      </c>
      <c r="C28" s="3">
        <v>2.41</v>
      </c>
      <c r="D28" s="3">
        <v>0.69</v>
      </c>
      <c r="E28" s="3">
        <v>0.45</v>
      </c>
      <c r="F28" s="3">
        <v>76.900000000000006</v>
      </c>
      <c r="G28" s="3">
        <v>64.599999999999994</v>
      </c>
      <c r="H28" s="3">
        <v>86.3</v>
      </c>
      <c r="I28" s="3">
        <v>0.18</v>
      </c>
      <c r="J28" s="3">
        <v>136</v>
      </c>
      <c r="K28" s="3">
        <v>103</v>
      </c>
      <c r="L28" s="3">
        <v>5.27</v>
      </c>
      <c r="M28" s="3">
        <v>0.1</v>
      </c>
      <c r="N28" s="9">
        <f t="shared" si="0"/>
        <v>28848.79834710744</v>
      </c>
    </row>
    <row r="29" spans="1:14">
      <c r="A29" s="2">
        <v>1970</v>
      </c>
      <c r="B29" s="3">
        <v>8.3000000000000004E-2</v>
      </c>
      <c r="C29" s="3">
        <v>0.11</v>
      </c>
      <c r="D29" s="3">
        <v>0.15</v>
      </c>
      <c r="E29" s="3">
        <v>25.3</v>
      </c>
      <c r="F29" s="3">
        <v>0.18</v>
      </c>
      <c r="G29" s="3">
        <v>7.77</v>
      </c>
      <c r="H29" s="3">
        <v>1.29</v>
      </c>
      <c r="I29" s="3">
        <v>0.16</v>
      </c>
      <c r="J29" s="3">
        <v>0.28999999999999998</v>
      </c>
      <c r="K29" s="3">
        <v>0.14000000000000001</v>
      </c>
      <c r="L29" s="3">
        <v>0.1</v>
      </c>
      <c r="M29" s="3">
        <v>0.11</v>
      </c>
      <c r="N29" s="9">
        <f t="shared" si="0"/>
        <v>2127.0952066115706</v>
      </c>
    </row>
    <row r="30" spans="1:14">
      <c r="A30" s="2">
        <v>1971</v>
      </c>
      <c r="B30" s="3">
        <v>7.1999999999999995E-2</v>
      </c>
      <c r="C30" s="3">
        <v>0.12</v>
      </c>
      <c r="D30" s="3">
        <v>0.15</v>
      </c>
      <c r="E30" s="3">
        <v>8.39</v>
      </c>
      <c r="F30" s="3">
        <v>0.18</v>
      </c>
      <c r="G30" s="3">
        <v>60.2</v>
      </c>
      <c r="H30" s="3">
        <v>0.13</v>
      </c>
      <c r="I30" s="3">
        <v>6.7000000000000004E-2</v>
      </c>
      <c r="J30" s="3">
        <v>0.13</v>
      </c>
      <c r="K30" s="3">
        <v>0.08</v>
      </c>
      <c r="L30" s="3">
        <v>0.2</v>
      </c>
      <c r="M30" s="3">
        <v>0.1</v>
      </c>
      <c r="N30" s="9">
        <f t="shared" si="0"/>
        <v>4155.6476033057861</v>
      </c>
    </row>
    <row r="31" spans="1:14">
      <c r="A31" s="2">
        <v>1972</v>
      </c>
      <c r="B31" s="3">
        <v>8.8999999999999996E-2</v>
      </c>
      <c r="C31" s="3">
        <v>0.12</v>
      </c>
      <c r="D31" s="3">
        <v>0.13</v>
      </c>
      <c r="E31" s="3">
        <v>0.22</v>
      </c>
      <c r="F31" s="3">
        <v>0.34</v>
      </c>
      <c r="G31" s="3">
        <v>0.3</v>
      </c>
      <c r="H31" s="3">
        <v>0.48</v>
      </c>
      <c r="I31" s="3">
        <v>2.3199999999999998</v>
      </c>
      <c r="J31" s="3">
        <v>0.26</v>
      </c>
      <c r="K31" s="3">
        <v>0.22</v>
      </c>
      <c r="L31" s="3">
        <v>0.36</v>
      </c>
      <c r="M31" s="3">
        <v>0.14000000000000001</v>
      </c>
      <c r="N31" s="9">
        <f t="shared" si="0"/>
        <v>303.23107438016535</v>
      </c>
    </row>
    <row r="32" spans="1:14">
      <c r="A32" s="2">
        <v>1973</v>
      </c>
      <c r="B32" s="3">
        <v>0.17</v>
      </c>
      <c r="C32" s="3">
        <v>70.900000000000006</v>
      </c>
      <c r="D32" s="3">
        <v>79.3</v>
      </c>
      <c r="E32" s="3">
        <v>180</v>
      </c>
      <c r="F32" s="3">
        <v>109</v>
      </c>
      <c r="G32" s="3">
        <v>52.5</v>
      </c>
      <c r="H32" s="3">
        <v>0.26</v>
      </c>
      <c r="I32" s="3">
        <v>0.24</v>
      </c>
      <c r="J32" s="3">
        <v>377</v>
      </c>
      <c r="K32" s="3">
        <v>972</v>
      </c>
      <c r="L32" s="3">
        <v>486</v>
      </c>
      <c r="M32" s="3">
        <v>110</v>
      </c>
      <c r="N32" s="9">
        <f t="shared" si="0"/>
        <v>147308.41983471074</v>
      </c>
    </row>
    <row r="33" spans="1:14">
      <c r="A33" s="2">
        <v>1974</v>
      </c>
      <c r="B33" s="3">
        <v>96.5</v>
      </c>
      <c r="C33" s="3">
        <v>229</v>
      </c>
      <c r="D33" s="3">
        <v>57.5</v>
      </c>
      <c r="E33" s="3">
        <v>54</v>
      </c>
      <c r="F33" s="3">
        <v>38.6</v>
      </c>
      <c r="G33" s="3">
        <v>0.96</v>
      </c>
      <c r="H33" s="3">
        <v>1.54</v>
      </c>
      <c r="I33" s="3">
        <v>1.81</v>
      </c>
      <c r="J33" s="3">
        <v>1.05</v>
      </c>
      <c r="K33" s="3">
        <v>0.1</v>
      </c>
      <c r="L33" s="3">
        <v>0.13</v>
      </c>
      <c r="M33" s="3">
        <v>0.11</v>
      </c>
      <c r="N33" s="9">
        <f t="shared" si="0"/>
        <v>28233.540495867768</v>
      </c>
    </row>
    <row r="34" spans="1:14">
      <c r="A34" s="2">
        <v>1975</v>
      </c>
      <c r="B34" s="3">
        <v>9.8000000000000004E-2</v>
      </c>
      <c r="C34" s="3">
        <v>0.12</v>
      </c>
      <c r="D34" s="3">
        <v>0.19</v>
      </c>
      <c r="E34" s="3">
        <v>0.16</v>
      </c>
      <c r="F34" s="3">
        <v>0.3</v>
      </c>
      <c r="G34" s="3">
        <v>124</v>
      </c>
      <c r="H34" s="3">
        <v>60.3</v>
      </c>
      <c r="I34" s="3">
        <v>1.82</v>
      </c>
      <c r="J34" s="3">
        <v>0.79</v>
      </c>
      <c r="K34" s="3">
        <v>0.17</v>
      </c>
      <c r="L34" s="3">
        <v>0.2</v>
      </c>
      <c r="M34" s="3">
        <v>9.0999999999999998E-2</v>
      </c>
      <c r="N34" s="9">
        <f t="shared" si="0"/>
        <v>11325.479008264463</v>
      </c>
    </row>
    <row r="35" spans="1:14">
      <c r="A35" s="2">
        <v>1976</v>
      </c>
      <c r="B35" s="3">
        <v>0.1</v>
      </c>
      <c r="C35" s="3">
        <v>0.18</v>
      </c>
      <c r="D35" s="3">
        <v>0.3</v>
      </c>
      <c r="E35" s="3">
        <v>0.38</v>
      </c>
      <c r="F35" s="3">
        <v>0.59</v>
      </c>
      <c r="G35" s="3">
        <v>0.49</v>
      </c>
      <c r="H35" s="3">
        <v>1.07</v>
      </c>
      <c r="I35" s="3">
        <v>0.54</v>
      </c>
      <c r="J35" s="3">
        <v>0.56999999999999995</v>
      </c>
      <c r="K35" s="3">
        <v>0.28000000000000003</v>
      </c>
      <c r="L35" s="3">
        <v>0.15</v>
      </c>
      <c r="M35" s="3">
        <v>9.9000000000000005E-2</v>
      </c>
      <c r="N35" s="9">
        <f t="shared" si="0"/>
        <v>287.86909090909091</v>
      </c>
    </row>
    <row r="36" spans="1:14">
      <c r="A36" s="2">
        <v>1977</v>
      </c>
      <c r="B36" s="3">
        <v>0.11</v>
      </c>
      <c r="C36" s="3">
        <v>0.13</v>
      </c>
      <c r="D36" s="3">
        <v>0.24</v>
      </c>
      <c r="E36" s="3">
        <v>0.21</v>
      </c>
      <c r="F36" s="3">
        <v>0.61</v>
      </c>
      <c r="G36" s="3">
        <v>0.62</v>
      </c>
      <c r="H36" s="3">
        <v>0.55000000000000004</v>
      </c>
      <c r="I36" s="3">
        <v>0.45</v>
      </c>
      <c r="J36" s="3">
        <v>0.35</v>
      </c>
      <c r="K36" s="3">
        <v>0.42</v>
      </c>
      <c r="L36" s="3">
        <v>0.28000000000000003</v>
      </c>
      <c r="M36" s="3">
        <v>0.13</v>
      </c>
      <c r="N36" s="9">
        <f t="shared" si="0"/>
        <v>248.49421487603308</v>
      </c>
    </row>
    <row r="37" spans="1:14">
      <c r="A37" s="2">
        <v>1978</v>
      </c>
      <c r="B37" s="3">
        <v>0.15</v>
      </c>
      <c r="C37" s="3">
        <v>0.21</v>
      </c>
      <c r="D37" s="3">
        <v>109</v>
      </c>
      <c r="E37" s="3">
        <v>46.3</v>
      </c>
      <c r="F37" s="3">
        <v>7.56</v>
      </c>
      <c r="G37" s="3">
        <v>0.36</v>
      </c>
      <c r="H37" s="3">
        <v>0.28999999999999998</v>
      </c>
      <c r="I37" s="3">
        <v>0.32</v>
      </c>
      <c r="J37" s="3">
        <v>2.63</v>
      </c>
      <c r="K37" s="3">
        <v>17.899999999999999</v>
      </c>
      <c r="L37" s="3">
        <v>7.14</v>
      </c>
      <c r="M37" s="3">
        <v>18</v>
      </c>
      <c r="N37" s="9">
        <f t="shared" si="0"/>
        <v>12790.715702479338</v>
      </c>
    </row>
    <row r="38" spans="1:14">
      <c r="A38" s="2">
        <v>1979</v>
      </c>
      <c r="B38" s="3">
        <v>1.1499999999999999</v>
      </c>
      <c r="C38" s="3">
        <v>0.38</v>
      </c>
      <c r="D38" s="3">
        <v>186</v>
      </c>
      <c r="E38" s="3">
        <v>213</v>
      </c>
      <c r="F38" s="3">
        <v>0.6</v>
      </c>
      <c r="G38" s="3">
        <v>0.33</v>
      </c>
      <c r="H38" s="3">
        <v>0.48</v>
      </c>
      <c r="I38" s="3">
        <v>0.43</v>
      </c>
      <c r="J38" s="3">
        <v>0.24</v>
      </c>
      <c r="K38" s="3">
        <v>0.27</v>
      </c>
      <c r="L38" s="3">
        <v>0.27</v>
      </c>
      <c r="M38" s="3">
        <v>24.7</v>
      </c>
      <c r="N38" s="9">
        <f t="shared" si="0"/>
        <v>25881.252892561988</v>
      </c>
    </row>
    <row r="39" spans="1:14">
      <c r="A39" s="2">
        <v>1980</v>
      </c>
      <c r="B39" s="3">
        <v>22.4</v>
      </c>
      <c r="C39" s="3">
        <v>0.14000000000000001</v>
      </c>
      <c r="D39" s="3">
        <v>0.34</v>
      </c>
      <c r="E39" s="3">
        <v>147</v>
      </c>
      <c r="F39" s="3">
        <v>0.31</v>
      </c>
      <c r="G39" s="3">
        <v>0.2</v>
      </c>
      <c r="H39" s="3">
        <v>0.21</v>
      </c>
      <c r="I39" s="3">
        <v>0.9</v>
      </c>
      <c r="J39" s="3">
        <v>0.22</v>
      </c>
      <c r="K39" s="3">
        <v>0.14000000000000001</v>
      </c>
      <c r="L39" s="3">
        <v>0.12</v>
      </c>
      <c r="M39" s="3">
        <v>0.12</v>
      </c>
      <c r="N39" s="9">
        <f t="shared" si="0"/>
        <v>10288.611570247936</v>
      </c>
    </row>
    <row r="40" spans="1:14">
      <c r="A40" s="2">
        <v>1981</v>
      </c>
      <c r="B40" s="3">
        <v>0.1</v>
      </c>
      <c r="C40" s="3">
        <v>9.9000000000000005E-2</v>
      </c>
      <c r="D40" s="3">
        <v>0.13</v>
      </c>
      <c r="E40" s="3">
        <v>0.13</v>
      </c>
      <c r="F40" s="3">
        <v>28</v>
      </c>
      <c r="G40" s="3">
        <v>82.4</v>
      </c>
      <c r="H40" s="3">
        <v>0.37</v>
      </c>
      <c r="I40" s="3">
        <v>0.25</v>
      </c>
      <c r="J40" s="3">
        <v>0.28999999999999998</v>
      </c>
      <c r="K40" s="3">
        <v>0.55000000000000004</v>
      </c>
      <c r="L40" s="3">
        <v>0.39</v>
      </c>
      <c r="M40" s="3">
        <v>34.200000000000003</v>
      </c>
      <c r="N40" s="9">
        <f t="shared" si="0"/>
        <v>8867.4976859504131</v>
      </c>
    </row>
    <row r="41" spans="1:14">
      <c r="A41" s="2">
        <v>1982</v>
      </c>
      <c r="B41" s="3">
        <v>0.13</v>
      </c>
      <c r="C41" s="3">
        <v>0.18</v>
      </c>
      <c r="D41" s="3">
        <v>0.16</v>
      </c>
      <c r="E41" s="3">
        <v>0.17</v>
      </c>
      <c r="F41" s="3">
        <v>41.7</v>
      </c>
      <c r="G41" s="3">
        <v>73</v>
      </c>
      <c r="H41" s="3">
        <v>0.51</v>
      </c>
      <c r="I41" s="3">
        <v>106</v>
      </c>
      <c r="J41" s="3">
        <v>5.4</v>
      </c>
      <c r="K41" s="3">
        <v>13.8</v>
      </c>
      <c r="L41" s="3">
        <v>0.05</v>
      </c>
      <c r="M41" s="3">
        <v>0.13</v>
      </c>
      <c r="N41" s="9">
        <f t="shared" si="0"/>
        <v>14675.732231404958</v>
      </c>
    </row>
    <row r="42" spans="1:14">
      <c r="A42" s="2">
        <v>1983</v>
      </c>
      <c r="B42" s="3">
        <v>4.2999999999999997E-2</v>
      </c>
      <c r="C42" s="3">
        <v>3.9E-2</v>
      </c>
      <c r="D42" s="3">
        <v>8.1000000000000003E-2</v>
      </c>
      <c r="E42" s="3">
        <v>5.3999999999999999E-2</v>
      </c>
      <c r="F42" s="3">
        <v>0.22</v>
      </c>
      <c r="G42" s="3">
        <v>84.1</v>
      </c>
      <c r="H42" s="3">
        <v>0.25</v>
      </c>
      <c r="I42" s="3">
        <v>0.18</v>
      </c>
      <c r="J42" s="3">
        <v>0.18</v>
      </c>
      <c r="K42" s="3">
        <v>7.0000000000000007E-2</v>
      </c>
      <c r="L42" s="3">
        <v>4.3999999999999997E-2</v>
      </c>
      <c r="M42" s="3">
        <v>1.2E-2</v>
      </c>
      <c r="N42" s="9">
        <f t="shared" si="0"/>
        <v>5075.6583471074382</v>
      </c>
    </row>
    <row r="43" spans="1:14">
      <c r="A43" s="2">
        <v>1984</v>
      </c>
      <c r="B43" s="3">
        <v>2.3E-2</v>
      </c>
      <c r="C43" s="3">
        <v>3.4000000000000002E-2</v>
      </c>
      <c r="D43" s="3">
        <v>44.6</v>
      </c>
      <c r="E43" s="3">
        <v>196</v>
      </c>
      <c r="F43" s="3">
        <v>162</v>
      </c>
      <c r="G43" s="3">
        <v>166</v>
      </c>
      <c r="H43" s="3">
        <v>0.59</v>
      </c>
      <c r="I43" s="3">
        <v>0.36</v>
      </c>
      <c r="J43" s="3">
        <v>0.32</v>
      </c>
      <c r="K43" s="3">
        <v>0.11</v>
      </c>
      <c r="L43" s="3">
        <v>3.2000000000000001E-2</v>
      </c>
      <c r="M43" s="3">
        <v>2.8000000000000001E-2</v>
      </c>
      <c r="N43" s="9">
        <f t="shared" si="0"/>
        <v>34334.998016528916</v>
      </c>
    </row>
    <row r="44" spans="1:14">
      <c r="A44" s="2">
        <v>1985</v>
      </c>
      <c r="B44" s="3">
        <v>1.9E-2</v>
      </c>
      <c r="C44" s="3">
        <v>3.1E-2</v>
      </c>
      <c r="D44" s="3">
        <v>3.1E-2</v>
      </c>
      <c r="E44" s="3">
        <v>5.6000000000000001E-2</v>
      </c>
      <c r="F44" s="3">
        <v>254</v>
      </c>
      <c r="G44" s="3">
        <v>62.6</v>
      </c>
      <c r="H44" s="3">
        <v>0.62</v>
      </c>
      <c r="I44" s="3">
        <v>192</v>
      </c>
      <c r="J44" s="3">
        <v>120</v>
      </c>
      <c r="K44" s="3">
        <v>6.89</v>
      </c>
      <c r="L44" s="3">
        <v>0.31</v>
      </c>
      <c r="M44" s="3">
        <v>0.15</v>
      </c>
      <c r="N44" s="9">
        <f t="shared" si="0"/>
        <v>38786.510578512389</v>
      </c>
    </row>
    <row r="45" spans="1:14">
      <c r="A45" s="2">
        <v>1986</v>
      </c>
      <c r="B45" s="3">
        <v>64</v>
      </c>
      <c r="C45" s="3">
        <v>0.33</v>
      </c>
      <c r="D45" s="3">
        <v>50.4</v>
      </c>
      <c r="E45" s="3">
        <v>0.32</v>
      </c>
      <c r="F45" s="3">
        <v>113</v>
      </c>
      <c r="G45" s="3">
        <v>0.7</v>
      </c>
      <c r="H45" s="3">
        <v>0.4</v>
      </c>
      <c r="I45" s="3">
        <v>0.35</v>
      </c>
      <c r="J45" s="3">
        <v>3.44</v>
      </c>
      <c r="K45" s="3">
        <v>379</v>
      </c>
      <c r="L45" s="3">
        <v>46.3</v>
      </c>
      <c r="M45" s="3">
        <v>0.2</v>
      </c>
      <c r="N45" s="9">
        <f t="shared" si="0"/>
        <v>40383.41652892562</v>
      </c>
    </row>
    <row r="46" spans="1:14">
      <c r="A46" s="2">
        <v>1987</v>
      </c>
      <c r="B46" s="3">
        <v>117</v>
      </c>
      <c r="C46" s="3">
        <v>0.25</v>
      </c>
      <c r="D46" s="3">
        <v>64.2</v>
      </c>
      <c r="E46" s="3">
        <v>848</v>
      </c>
      <c r="F46" s="3">
        <v>370</v>
      </c>
      <c r="G46" s="3">
        <v>7.7</v>
      </c>
      <c r="H46" s="3">
        <v>0.34</v>
      </c>
      <c r="I46" s="3">
        <v>0.56000000000000005</v>
      </c>
      <c r="J46" s="3">
        <v>0.22</v>
      </c>
      <c r="K46" s="3">
        <v>0.24</v>
      </c>
      <c r="L46" s="3">
        <v>0.22</v>
      </c>
      <c r="M46" s="3">
        <v>0.21</v>
      </c>
      <c r="N46" s="9">
        <f t="shared" si="0"/>
        <v>84932.851239669428</v>
      </c>
    </row>
    <row r="47" spans="1:14">
      <c r="A47" s="2">
        <v>1988</v>
      </c>
      <c r="B47" s="3">
        <v>0.18</v>
      </c>
      <c r="C47" s="3">
        <v>120</v>
      </c>
      <c r="D47" s="3">
        <v>19.600000000000001</v>
      </c>
      <c r="E47" s="3">
        <v>0.12</v>
      </c>
      <c r="F47" s="3">
        <v>5.6000000000000001E-2</v>
      </c>
      <c r="G47" s="3">
        <v>0.14000000000000001</v>
      </c>
      <c r="H47" s="3">
        <v>0.13</v>
      </c>
      <c r="I47" s="3">
        <v>0.12</v>
      </c>
      <c r="J47" s="3">
        <v>0.25</v>
      </c>
      <c r="K47" s="3">
        <v>0.27</v>
      </c>
      <c r="L47" s="3">
        <v>0.18</v>
      </c>
      <c r="M47" s="3">
        <v>0.13</v>
      </c>
      <c r="N47" s="9">
        <f t="shared" si="0"/>
        <v>8024.6598347107429</v>
      </c>
    </row>
    <row r="48" spans="1:14">
      <c r="A48" s="2">
        <v>1989</v>
      </c>
      <c r="B48" s="3">
        <v>0.12</v>
      </c>
      <c r="C48" s="3">
        <v>0.15</v>
      </c>
      <c r="D48" s="3">
        <v>0.21</v>
      </c>
      <c r="E48" s="3">
        <v>0.17</v>
      </c>
      <c r="F48" s="3">
        <v>0.1</v>
      </c>
      <c r="G48" s="3">
        <v>0.35</v>
      </c>
      <c r="H48" s="3">
        <v>0.26</v>
      </c>
      <c r="I48" s="3">
        <v>0.6</v>
      </c>
      <c r="J48" s="3">
        <v>0.26</v>
      </c>
      <c r="K48" s="3">
        <v>5.3999999999999999E-2</v>
      </c>
      <c r="L48" s="3">
        <v>0.16</v>
      </c>
      <c r="M48" s="3">
        <v>0.1</v>
      </c>
      <c r="N48" s="9">
        <f t="shared" si="0"/>
        <v>153.12694214876032</v>
      </c>
    </row>
    <row r="49" spans="1:14">
      <c r="A49" s="2">
        <v>1990</v>
      </c>
      <c r="B49" s="3">
        <v>4.3999999999999997E-2</v>
      </c>
      <c r="C49" s="3">
        <v>0.08</v>
      </c>
      <c r="D49" s="3">
        <v>0.2</v>
      </c>
      <c r="E49" s="3">
        <v>0.15</v>
      </c>
      <c r="F49" s="3">
        <v>0.43</v>
      </c>
      <c r="G49" s="3">
        <v>0.35</v>
      </c>
      <c r="H49" s="3">
        <v>0.28999999999999998</v>
      </c>
      <c r="I49" s="3">
        <v>0.12</v>
      </c>
      <c r="J49" s="3">
        <v>0.25</v>
      </c>
      <c r="K49" s="3">
        <v>2.3E-2</v>
      </c>
      <c r="L49" s="3">
        <v>5.0999999999999997E-2</v>
      </c>
      <c r="M49" s="3">
        <v>5.7000000000000002E-2</v>
      </c>
      <c r="N49" s="9">
        <f t="shared" si="0"/>
        <v>123.71702479338843</v>
      </c>
    </row>
    <row r="50" spans="1:14">
      <c r="A50" s="2">
        <v>1991</v>
      </c>
      <c r="B50" s="3">
        <v>7.2999999999999995E-2</v>
      </c>
      <c r="C50" s="3">
        <v>0.12</v>
      </c>
      <c r="D50" s="3">
        <v>0.11</v>
      </c>
      <c r="E50" s="3">
        <v>0.18</v>
      </c>
      <c r="F50" s="3">
        <v>0.75</v>
      </c>
      <c r="G50" s="3">
        <v>0.24</v>
      </c>
      <c r="H50" s="3">
        <v>0.11</v>
      </c>
      <c r="I50" s="3">
        <v>9.0999999999999998E-2</v>
      </c>
      <c r="J50" s="3">
        <v>4.8000000000000001E-2</v>
      </c>
      <c r="K50" s="3">
        <v>0</v>
      </c>
      <c r="L50" s="3">
        <v>4.0000000000000001E-3</v>
      </c>
      <c r="M50" s="3">
        <v>3.4000000000000002E-2</v>
      </c>
      <c r="N50" s="9">
        <f t="shared" si="0"/>
        <v>106.6274380165289</v>
      </c>
    </row>
    <row r="51" spans="1:14">
      <c r="A51" s="2">
        <v>1992</v>
      </c>
      <c r="B51" s="3">
        <v>0.1</v>
      </c>
      <c r="C51" s="3">
        <v>0.11</v>
      </c>
      <c r="D51" s="3">
        <v>4.5999999999999999E-2</v>
      </c>
      <c r="E51" s="3">
        <v>0.14000000000000001</v>
      </c>
      <c r="F51" s="3">
        <v>8.7999999999999995E-2</v>
      </c>
      <c r="G51" s="3">
        <v>0.21</v>
      </c>
      <c r="H51" s="3">
        <v>100</v>
      </c>
      <c r="I51" s="3">
        <v>164</v>
      </c>
      <c r="J51" s="3">
        <v>95.4</v>
      </c>
      <c r="K51" s="3">
        <v>0.12</v>
      </c>
      <c r="L51" s="3">
        <v>0.1</v>
      </c>
      <c r="M51" s="3">
        <v>0.23</v>
      </c>
      <c r="N51" s="9">
        <f t="shared" si="0"/>
        <v>21978.270743801648</v>
      </c>
    </row>
    <row r="52" spans="1:14">
      <c r="A52" s="2">
        <v>1993</v>
      </c>
      <c r="B52" s="3">
        <v>0.1</v>
      </c>
      <c r="C52" s="3">
        <v>124</v>
      </c>
      <c r="D52" s="3">
        <v>379</v>
      </c>
      <c r="E52" s="3">
        <v>78.8</v>
      </c>
      <c r="F52" s="3">
        <v>43.2</v>
      </c>
      <c r="G52" s="3">
        <v>33.6</v>
      </c>
      <c r="H52" s="3">
        <v>802</v>
      </c>
      <c r="I52" s="3">
        <v>724</v>
      </c>
      <c r="J52" s="3">
        <v>290</v>
      </c>
      <c r="K52" s="3">
        <v>95.3</v>
      </c>
      <c r="L52" s="3">
        <v>43.1</v>
      </c>
      <c r="M52" s="3">
        <v>103</v>
      </c>
      <c r="N52" s="9">
        <f t="shared" si="0"/>
        <v>165446.479338843</v>
      </c>
    </row>
    <row r="53" spans="1:14">
      <c r="A53" s="2">
        <v>1994</v>
      </c>
      <c r="B53" s="3">
        <v>49.3</v>
      </c>
      <c r="C53" s="3">
        <v>54</v>
      </c>
      <c r="D53" s="3">
        <v>46</v>
      </c>
      <c r="E53" s="3">
        <v>13.9</v>
      </c>
      <c r="F53" s="3">
        <v>46.8</v>
      </c>
      <c r="G53" s="3">
        <v>0.35</v>
      </c>
      <c r="H53" s="3">
        <v>0.31</v>
      </c>
      <c r="I53" s="3">
        <v>0.33</v>
      </c>
      <c r="J53" s="3">
        <v>0.2</v>
      </c>
      <c r="K53" s="3">
        <v>0.16</v>
      </c>
      <c r="L53" s="3">
        <v>0.13</v>
      </c>
      <c r="M53" s="3">
        <v>9.9000000000000005E-2</v>
      </c>
      <c r="N53" s="9">
        <f t="shared" si="0"/>
        <v>12686.021157024794</v>
      </c>
    </row>
    <row r="54" spans="1:14">
      <c r="A54" s="2">
        <v>1995</v>
      </c>
      <c r="B54" s="3">
        <v>0.1</v>
      </c>
      <c r="C54" s="3">
        <v>0.12</v>
      </c>
      <c r="D54" s="3">
        <v>0.09</v>
      </c>
      <c r="E54" s="3">
        <v>9.7000000000000003E-2</v>
      </c>
      <c r="F54" s="3">
        <v>0.42</v>
      </c>
      <c r="G54" s="3">
        <v>117</v>
      </c>
      <c r="H54" s="3">
        <v>0.26</v>
      </c>
      <c r="I54" s="3">
        <v>0.14000000000000001</v>
      </c>
      <c r="J54" s="3">
        <v>0.15</v>
      </c>
      <c r="K54" s="3">
        <v>0.13</v>
      </c>
      <c r="L54" s="3">
        <v>0.18</v>
      </c>
      <c r="M54" s="3">
        <v>0.14000000000000001</v>
      </c>
      <c r="N54" s="9">
        <f t="shared" si="0"/>
        <v>7072.8198347107455</v>
      </c>
    </row>
    <row r="55" spans="1:14">
      <c r="A55" s="2">
        <v>1996</v>
      </c>
      <c r="B55" s="3">
        <v>0.15</v>
      </c>
      <c r="C55" s="3">
        <v>0.15</v>
      </c>
      <c r="D55" s="3">
        <v>0.12</v>
      </c>
      <c r="E55" s="3">
        <v>0.21</v>
      </c>
      <c r="F55" s="3">
        <v>0.31</v>
      </c>
      <c r="G55" s="3">
        <v>0.41</v>
      </c>
      <c r="H55" s="3">
        <v>0.25</v>
      </c>
      <c r="I55" s="3">
        <v>0.37</v>
      </c>
      <c r="J55" s="3">
        <v>0.36</v>
      </c>
      <c r="K55" s="3">
        <v>0.17</v>
      </c>
      <c r="L55" s="3">
        <v>200</v>
      </c>
      <c r="M55" s="3">
        <v>61.5</v>
      </c>
      <c r="N55" s="9">
        <f t="shared" si="0"/>
        <v>15833.271074380165</v>
      </c>
    </row>
    <row r="56" spans="1:14">
      <c r="A56" s="2">
        <v>1997</v>
      </c>
      <c r="B56" s="3">
        <v>0.26</v>
      </c>
      <c r="C56" s="3">
        <v>0.19</v>
      </c>
      <c r="D56" s="3">
        <v>0.19</v>
      </c>
      <c r="E56" s="3">
        <v>53.8</v>
      </c>
      <c r="F56" s="3">
        <v>23.3</v>
      </c>
      <c r="G56" s="3">
        <v>49.2</v>
      </c>
      <c r="H56" s="3">
        <v>2.54</v>
      </c>
      <c r="I56" s="3">
        <v>0.28999999999999998</v>
      </c>
      <c r="J56" s="3">
        <v>0.36</v>
      </c>
      <c r="K56" s="3">
        <v>0.11</v>
      </c>
      <c r="L56" s="3">
        <v>6.9000000000000006E-2</v>
      </c>
      <c r="M56" s="3">
        <v>6.0999999999999999E-2</v>
      </c>
      <c r="N56" s="9">
        <f t="shared" si="0"/>
        <v>7809.9540495867777</v>
      </c>
    </row>
    <row r="57" spans="1:14">
      <c r="A57" s="2">
        <v>1998</v>
      </c>
      <c r="B57" s="3">
        <v>6.2E-2</v>
      </c>
      <c r="C57" s="3">
        <v>7.1999999999999995E-2</v>
      </c>
      <c r="D57" s="3">
        <v>21.1</v>
      </c>
      <c r="E57" s="3">
        <v>306</v>
      </c>
      <c r="F57" s="3">
        <v>40.700000000000003</v>
      </c>
      <c r="G57" s="3">
        <v>0.32</v>
      </c>
      <c r="H57" s="3">
        <v>0.25</v>
      </c>
      <c r="I57" s="3">
        <v>0.28000000000000003</v>
      </c>
      <c r="J57" s="3">
        <v>0.19</v>
      </c>
      <c r="K57" s="3">
        <v>0.1</v>
      </c>
      <c r="L57" s="3">
        <v>0.13</v>
      </c>
      <c r="M57" s="3">
        <v>0.11</v>
      </c>
      <c r="N57" s="9">
        <f t="shared" si="0"/>
        <v>22099.628429752072</v>
      </c>
    </row>
    <row r="58" spans="1:14">
      <c r="A58" s="2">
        <v>1999</v>
      </c>
      <c r="B58" s="3">
        <v>0.12</v>
      </c>
      <c r="C58" s="3">
        <v>0.14000000000000001</v>
      </c>
      <c r="D58" s="3">
        <v>0.12</v>
      </c>
      <c r="E58" s="3">
        <v>0.1</v>
      </c>
      <c r="F58" s="3">
        <v>0.19</v>
      </c>
      <c r="G58" s="3">
        <v>0.36</v>
      </c>
      <c r="H58" s="3">
        <v>0.24</v>
      </c>
      <c r="I58" s="3">
        <v>7.5999999999999998E-2</v>
      </c>
      <c r="J58" s="3">
        <v>0.11</v>
      </c>
      <c r="K58" s="3">
        <v>3.9E-2</v>
      </c>
      <c r="L58" s="3">
        <v>3.5000000000000003E-2</v>
      </c>
      <c r="M58" s="3">
        <v>4.3999999999999997E-2</v>
      </c>
      <c r="N58" s="9">
        <f t="shared" si="0"/>
        <v>94.817851239669409</v>
      </c>
    </row>
    <row r="59" spans="1:14">
      <c r="A59" s="2">
        <v>2000</v>
      </c>
      <c r="B59" s="3">
        <v>4.2000000000000003E-2</v>
      </c>
      <c r="C59" s="3">
        <v>8.2000000000000003E-2</v>
      </c>
      <c r="D59" s="3">
        <v>0.16</v>
      </c>
      <c r="E59" s="3">
        <v>0.32</v>
      </c>
      <c r="F59" s="3">
        <v>0.27</v>
      </c>
      <c r="G59" s="3">
        <v>0.14000000000000001</v>
      </c>
      <c r="H59" s="3">
        <v>0.11</v>
      </c>
      <c r="I59" s="3">
        <v>3.6999999999999998E-2</v>
      </c>
      <c r="J59" s="3">
        <v>4.1000000000000002E-2</v>
      </c>
      <c r="K59" s="3">
        <v>0.01</v>
      </c>
      <c r="L59" s="3">
        <v>5.3999999999999999E-2</v>
      </c>
      <c r="M59" s="3">
        <v>0.08</v>
      </c>
      <c r="N59" s="9">
        <f t="shared" si="0"/>
        <v>81.214214876033054</v>
      </c>
    </row>
    <row r="60" spans="1:14">
      <c r="A60" s="2">
        <v>2001</v>
      </c>
      <c r="B60" s="3">
        <v>0.28000000000000003</v>
      </c>
      <c r="C60" s="3">
        <v>0.28999999999999998</v>
      </c>
      <c r="D60" s="3">
        <v>0.34</v>
      </c>
      <c r="E60" s="3">
        <v>0.15</v>
      </c>
      <c r="F60" s="3">
        <v>83.4</v>
      </c>
      <c r="G60" s="3">
        <v>66.7</v>
      </c>
      <c r="H60" s="3">
        <v>0.91</v>
      </c>
      <c r="I60" s="3">
        <v>0.56999999999999995</v>
      </c>
      <c r="J60" s="3">
        <v>0.18</v>
      </c>
      <c r="K60" s="3">
        <v>0.27</v>
      </c>
      <c r="L60" s="3">
        <v>0.21</v>
      </c>
      <c r="M60" s="3">
        <v>0.23</v>
      </c>
      <c r="N60" s="9">
        <f t="shared" si="0"/>
        <v>9305.2413223140502</v>
      </c>
    </row>
    <row r="61" spans="1:14">
      <c r="A61" s="2">
        <v>2002</v>
      </c>
      <c r="B61" s="3">
        <v>0.16</v>
      </c>
      <c r="C61" s="3">
        <v>0.17</v>
      </c>
      <c r="D61" s="3">
        <v>0.22</v>
      </c>
      <c r="E61" s="3">
        <v>0.26</v>
      </c>
      <c r="F61" s="3">
        <v>0.31</v>
      </c>
      <c r="G61" s="3">
        <v>0.69</v>
      </c>
      <c r="H61" s="3">
        <v>0.26</v>
      </c>
      <c r="I61" s="3">
        <v>9.0999999999999998E-2</v>
      </c>
      <c r="J61" s="3">
        <v>6.3E-2</v>
      </c>
      <c r="K61" s="3"/>
      <c r="L61" s="3"/>
      <c r="M61" s="3"/>
      <c r="N61" s="9">
        <f t="shared" si="0"/>
        <v>133.81190082644628</v>
      </c>
    </row>
    <row r="62" spans="1:14">
      <c r="A62" s="1" t="s">
        <v>19</v>
      </c>
      <c r="B62" s="124">
        <v>8.35</v>
      </c>
      <c r="C62" s="124">
        <v>24.5</v>
      </c>
      <c r="D62" s="124">
        <v>29.8</v>
      </c>
      <c r="E62" s="124">
        <v>50.3</v>
      </c>
      <c r="F62" s="124">
        <v>47.7</v>
      </c>
      <c r="G62" s="124">
        <v>93.2</v>
      </c>
      <c r="H62" s="124">
        <v>60.3</v>
      </c>
      <c r="I62" s="124">
        <v>31</v>
      </c>
      <c r="J62" s="124">
        <v>49.1</v>
      </c>
      <c r="K62" s="124">
        <v>42.3</v>
      </c>
      <c r="L62" s="124">
        <v>18.3</v>
      </c>
      <c r="M62" s="124">
        <v>8.6199999999999992</v>
      </c>
    </row>
    <row r="63" spans="1:14">
      <c r="A63" s="4" t="s">
        <v>20</v>
      </c>
      <c r="B63" s="117"/>
      <c r="C63" s="117"/>
      <c r="D63" s="117"/>
      <c r="E63" s="117"/>
      <c r="F63" s="117"/>
      <c r="G63" s="117"/>
      <c r="H63" s="117"/>
      <c r="I63" s="117"/>
      <c r="J63" s="117"/>
      <c r="K63" s="117"/>
      <c r="L63" s="117"/>
      <c r="M63" s="117"/>
    </row>
    <row r="64" spans="1:14" ht="26.4">
      <c r="A64" s="5" t="s">
        <v>21</v>
      </c>
      <c r="B64" s="118"/>
      <c r="C64" s="118"/>
      <c r="D64" s="118"/>
      <c r="E64" s="118"/>
      <c r="F64" s="118"/>
      <c r="G64" s="118"/>
      <c r="H64" s="118"/>
      <c r="I64" s="118"/>
      <c r="J64" s="118"/>
      <c r="K64" s="118"/>
      <c r="L64" s="118"/>
      <c r="M64" s="118"/>
    </row>
  </sheetData>
  <mergeCells count="14">
    <mergeCell ref="L62:L64"/>
    <mergeCell ref="M62:M64"/>
    <mergeCell ref="A3:A4"/>
    <mergeCell ref="B3:M3"/>
    <mergeCell ref="B62:B64"/>
    <mergeCell ref="C62:C64"/>
    <mergeCell ref="D62:D64"/>
    <mergeCell ref="E62:E64"/>
    <mergeCell ref="F62:F64"/>
    <mergeCell ref="G62:G64"/>
    <mergeCell ref="H62:H64"/>
    <mergeCell ref="I62:I64"/>
    <mergeCell ref="J62:J64"/>
    <mergeCell ref="K62:K64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workbookViewId="0">
      <selection activeCell="F9" sqref="F9"/>
    </sheetView>
  </sheetViews>
  <sheetFormatPr defaultRowHeight="13.2"/>
  <sheetData>
    <row r="1" spans="1:8">
      <c r="A1">
        <v>1</v>
      </c>
      <c r="B1">
        <v>31</v>
      </c>
      <c r="C1" t="s">
        <v>39</v>
      </c>
      <c r="F1">
        <f>3600*24</f>
        <v>86400</v>
      </c>
      <c r="G1" t="s">
        <v>40</v>
      </c>
    </row>
    <row r="2" spans="1:8">
      <c r="A2">
        <v>2</v>
      </c>
      <c r="B2">
        <v>28.25</v>
      </c>
      <c r="C2" t="s">
        <v>41</v>
      </c>
      <c r="F2">
        <f>5280^2/640</f>
        <v>43560</v>
      </c>
      <c r="G2" t="s">
        <v>42</v>
      </c>
    </row>
    <row r="3" spans="1:8">
      <c r="A3">
        <v>3</v>
      </c>
      <c r="B3">
        <v>31</v>
      </c>
      <c r="C3" t="s">
        <v>43</v>
      </c>
      <c r="F3">
        <f>F1/F2</f>
        <v>1.9834710743801653</v>
      </c>
      <c r="G3" t="s">
        <v>44</v>
      </c>
    </row>
    <row r="4" spans="1:8">
      <c r="A4">
        <v>4</v>
      </c>
      <c r="B4">
        <v>30</v>
      </c>
      <c r="C4" t="s">
        <v>45</v>
      </c>
    </row>
    <row r="5" spans="1:8">
      <c r="A5">
        <v>5</v>
      </c>
      <c r="B5">
        <v>31</v>
      </c>
      <c r="C5" t="s">
        <v>46</v>
      </c>
      <c r="F5" t="s">
        <v>47</v>
      </c>
      <c r="G5" t="s">
        <v>48</v>
      </c>
    </row>
    <row r="6" spans="1:8">
      <c r="A6">
        <v>6</v>
      </c>
      <c r="B6">
        <v>30</v>
      </c>
      <c r="C6" t="s">
        <v>49</v>
      </c>
      <c r="F6" t="s">
        <v>50</v>
      </c>
      <c r="G6" t="s">
        <v>51</v>
      </c>
    </row>
    <row r="7" spans="1:8">
      <c r="A7">
        <v>7</v>
      </c>
      <c r="B7">
        <v>31</v>
      </c>
      <c r="C7" t="s">
        <v>52</v>
      </c>
      <c r="E7" s="11" t="s">
        <v>53</v>
      </c>
      <c r="F7">
        <v>345</v>
      </c>
      <c r="G7">
        <v>1531.52</v>
      </c>
      <c r="H7" s="12" t="s">
        <v>54</v>
      </c>
    </row>
    <row r="8" spans="1:8">
      <c r="A8">
        <v>8</v>
      </c>
      <c r="B8">
        <v>31</v>
      </c>
      <c r="C8" t="s">
        <v>55</v>
      </c>
      <c r="E8" s="11" t="s">
        <v>56</v>
      </c>
      <c r="F8">
        <v>227</v>
      </c>
      <c r="G8">
        <v>1600.84</v>
      </c>
      <c r="H8" s="12" t="s">
        <v>57</v>
      </c>
    </row>
    <row r="9" spans="1:8">
      <c r="A9">
        <v>9</v>
      </c>
      <c r="B9">
        <v>30</v>
      </c>
      <c r="C9" t="s">
        <v>58</v>
      </c>
      <c r="E9" s="11" t="s">
        <v>59</v>
      </c>
      <c r="F9" s="13">
        <f>F7/F8</f>
        <v>1.5198237885462555</v>
      </c>
    </row>
    <row r="10" spans="1:8">
      <c r="A10">
        <v>10</v>
      </c>
      <c r="B10">
        <v>31</v>
      </c>
      <c r="C10" t="s">
        <v>60</v>
      </c>
    </row>
    <row r="11" spans="1:8">
      <c r="A11">
        <v>11</v>
      </c>
      <c r="B11">
        <v>30</v>
      </c>
      <c r="C11" t="s">
        <v>61</v>
      </c>
    </row>
    <row r="12" spans="1:8">
      <c r="A12">
        <v>12</v>
      </c>
      <c r="B12">
        <v>31</v>
      </c>
      <c r="C12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B85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I33" sqref="I33"/>
    </sheetView>
  </sheetViews>
  <sheetFormatPr defaultRowHeight="13.2"/>
  <cols>
    <col min="1" max="1" width="9.44140625" customWidth="1"/>
    <col min="3" max="3" width="14.21875" customWidth="1"/>
    <col min="4" max="4" width="10" customWidth="1"/>
    <col min="5" max="5" width="10.44140625" customWidth="1"/>
    <col min="7" max="7" width="10.21875" bestFit="1" customWidth="1"/>
    <col min="8" max="8" width="13.88671875" bestFit="1" customWidth="1"/>
    <col min="9" max="9" width="19" customWidth="1"/>
  </cols>
  <sheetData>
    <row r="1" spans="1:24">
      <c r="A1" t="s">
        <v>0</v>
      </c>
      <c r="B1" t="s">
        <v>1</v>
      </c>
      <c r="C1" s="10" t="s">
        <v>134</v>
      </c>
      <c r="D1" s="10" t="s">
        <v>141</v>
      </c>
      <c r="E1" s="10" t="s">
        <v>139</v>
      </c>
      <c r="F1" s="11" t="s">
        <v>37</v>
      </c>
      <c r="G1" s="39" t="s">
        <v>27</v>
      </c>
      <c r="H1" s="38" t="s">
        <v>116</v>
      </c>
      <c r="I1" s="65" t="s">
        <v>28</v>
      </c>
      <c r="J1" t="s">
        <v>132</v>
      </c>
      <c r="K1" s="10" t="s">
        <v>148</v>
      </c>
      <c r="L1" s="10"/>
      <c r="N1" s="10" t="s">
        <v>148</v>
      </c>
      <c r="Q1" t="s">
        <v>168</v>
      </c>
    </row>
    <row r="2" spans="1:24">
      <c r="B2" t="s">
        <v>2</v>
      </c>
      <c r="C2" t="s">
        <v>3</v>
      </c>
      <c r="D2" t="s">
        <v>33</v>
      </c>
      <c r="E2" s="10" t="s">
        <v>140</v>
      </c>
      <c r="F2" s="11" t="s">
        <v>115</v>
      </c>
      <c r="G2" s="11" t="s">
        <v>110</v>
      </c>
      <c r="H2" s="38" t="s">
        <v>117</v>
      </c>
      <c r="I2" s="38" t="s">
        <v>189</v>
      </c>
      <c r="J2" t="s">
        <v>133</v>
      </c>
      <c r="K2" s="10" t="s">
        <v>138</v>
      </c>
      <c r="L2" s="10"/>
      <c r="N2" s="10" t="s">
        <v>147</v>
      </c>
      <c r="Q2" s="10" t="s">
        <v>169</v>
      </c>
      <c r="T2" s="10" t="s">
        <v>176</v>
      </c>
      <c r="V2" s="10" t="s">
        <v>176</v>
      </c>
      <c r="W2" s="10" t="s">
        <v>37</v>
      </c>
      <c r="X2" s="10" t="s">
        <v>176</v>
      </c>
    </row>
    <row r="3" spans="1:24" ht="14.4">
      <c r="B3" s="10" t="s">
        <v>207</v>
      </c>
      <c r="C3" s="10" t="s">
        <v>135</v>
      </c>
      <c r="D3" s="10" t="s">
        <v>109</v>
      </c>
      <c r="E3" s="10" t="s">
        <v>136</v>
      </c>
      <c r="F3" s="11" t="s">
        <v>137</v>
      </c>
      <c r="G3" s="11" t="s">
        <v>114</v>
      </c>
      <c r="H3" s="11" t="s">
        <v>113</v>
      </c>
      <c r="I3" s="37" t="s">
        <v>188</v>
      </c>
      <c r="N3" t="s">
        <v>25</v>
      </c>
      <c r="Q3" s="10" t="s">
        <v>166</v>
      </c>
      <c r="R3" t="s">
        <v>167</v>
      </c>
      <c r="S3" t="s">
        <v>165</v>
      </c>
      <c r="T3" s="10" t="s">
        <v>172</v>
      </c>
      <c r="U3" t="s">
        <v>170</v>
      </c>
      <c r="W3" s="10" t="s">
        <v>174</v>
      </c>
    </row>
    <row r="4" spans="1:24">
      <c r="G4" s="11" t="s">
        <v>112</v>
      </c>
      <c r="H4" s="11" t="s">
        <v>111</v>
      </c>
      <c r="K4" s="7"/>
      <c r="N4" s="7" t="s">
        <v>26</v>
      </c>
      <c r="P4" t="s">
        <v>164</v>
      </c>
      <c r="S4" t="s">
        <v>116</v>
      </c>
      <c r="T4" s="61" t="s">
        <v>173</v>
      </c>
      <c r="U4" t="s">
        <v>171</v>
      </c>
      <c r="W4" s="10" t="s">
        <v>175</v>
      </c>
    </row>
    <row r="5" spans="1:24" ht="14.4">
      <c r="C5" s="66" t="s">
        <v>210</v>
      </c>
      <c r="G5" s="67">
        <v>1</v>
      </c>
      <c r="H5" s="66" t="s">
        <v>208</v>
      </c>
      <c r="I5" s="66" t="s">
        <v>209</v>
      </c>
      <c r="N5" s="10"/>
      <c r="S5" s="62" t="s">
        <v>177</v>
      </c>
      <c r="T5" s="63"/>
      <c r="U5" s="62" t="s">
        <v>178</v>
      </c>
      <c r="V5" s="63"/>
      <c r="W5" s="62" t="s">
        <v>179</v>
      </c>
    </row>
    <row r="6" spans="1:24">
      <c r="A6">
        <v>1995</v>
      </c>
      <c r="B6" s="6">
        <v>1648.9359999999999</v>
      </c>
      <c r="C6" s="6">
        <f>'C-LOV'!N44</f>
        <v>31839</v>
      </c>
      <c r="D6" s="6">
        <f>WRC_BurrOak_annual!H44</f>
        <v>19691.900826446283</v>
      </c>
      <c r="E6" s="6">
        <f>'C-BELOW'!N44</f>
        <v>46493</v>
      </c>
      <c r="F6" s="9">
        <f>LVKS_Out_AF!N44</f>
        <v>53755</v>
      </c>
      <c r="G6" s="8">
        <f>C6/(C6+$G$5*D6)</f>
        <v>0.61786228242413799</v>
      </c>
      <c r="H6" s="6">
        <f t="shared" ref="H6:H29" si="0">G6*B6</f>
        <v>1018.8153605313283</v>
      </c>
      <c r="I6" s="6">
        <f t="shared" ref="I6:I29" si="1">MIN(C6-H6,E6)</f>
        <v>30820.184639468673</v>
      </c>
      <c r="J6" s="6">
        <f t="shared" ref="J6:J29" si="2">E6-I6</f>
        <v>15672.815360531327</v>
      </c>
      <c r="K6" s="9">
        <f t="shared" ref="K6:K29" si="3">MAX(F6-E6,0)</f>
        <v>7262</v>
      </c>
      <c r="L6" s="9"/>
      <c r="N6" s="6">
        <f>WRC_bl_Lovewell_USGS!N54</f>
        <v>7072.8198347107455</v>
      </c>
      <c r="P6">
        <v>1995</v>
      </c>
      <c r="S6" s="6">
        <v>1018.7369363154431</v>
      </c>
      <c r="T6" s="6">
        <f>H6-S6</f>
        <v>7.842421588520665E-2</v>
      </c>
      <c r="U6">
        <v>18200</v>
      </c>
      <c r="V6" s="6">
        <f t="shared" ref="V6:V29" si="4">U6-I6</f>
        <v>-12620.184639468673</v>
      </c>
      <c r="W6" s="10">
        <v>22888</v>
      </c>
      <c r="X6" s="6">
        <f t="shared" ref="X6:X29" si="5">W6-C6</f>
        <v>-8951</v>
      </c>
    </row>
    <row r="7" spans="1:24">
      <c r="A7">
        <v>1996</v>
      </c>
      <c r="B7" s="6">
        <v>851.79379166666661</v>
      </c>
      <c r="C7" s="6">
        <f>'C-LOV'!N45</f>
        <v>38849</v>
      </c>
      <c r="D7" s="6">
        <f>WRC_BurrOak_annual!H45</f>
        <v>18076.165289256198</v>
      </c>
      <c r="E7" s="6">
        <f>'C-BELOW'!N45</f>
        <v>46946</v>
      </c>
      <c r="F7" s="9">
        <f>LVKS_Out_AF!N45</f>
        <v>64549</v>
      </c>
      <c r="G7" s="8">
        <f t="shared" ref="G7:G29" si="6">C7/(C7+$G$5*D7)</f>
        <v>0.68245739476723466</v>
      </c>
      <c r="H7" s="6">
        <f t="shared" si="0"/>
        <v>581.31297193973796</v>
      </c>
      <c r="I7" s="6">
        <f t="shared" si="1"/>
        <v>38267.68702806026</v>
      </c>
      <c r="J7" s="6">
        <f t="shared" si="2"/>
        <v>8678.3129719397402</v>
      </c>
      <c r="K7" s="9">
        <f t="shared" si="3"/>
        <v>17603</v>
      </c>
      <c r="L7" s="9"/>
      <c r="N7" s="6">
        <f>WRC_bl_Lovewell_USGS!N55</f>
        <v>15833.271074380165</v>
      </c>
      <c r="P7">
        <v>1996</v>
      </c>
      <c r="S7" s="6">
        <v>581.36148663933557</v>
      </c>
      <c r="T7" s="6">
        <f t="shared" ref="T7:T29" si="7">H7-S7</f>
        <v>-4.8514699597603794E-2</v>
      </c>
      <c r="U7">
        <v>36510</v>
      </c>
      <c r="V7" s="6">
        <f t="shared" si="4"/>
        <v>-1757.6870280602598</v>
      </c>
      <c r="W7">
        <v>38849</v>
      </c>
      <c r="X7" s="6">
        <f t="shared" si="5"/>
        <v>0</v>
      </c>
    </row>
    <row r="8" spans="1:24">
      <c r="A8">
        <v>1997</v>
      </c>
      <c r="B8" s="6">
        <v>2116.3768333333328</v>
      </c>
      <c r="C8" s="6">
        <f>'C-LOV'!N46</f>
        <v>29802</v>
      </c>
      <c r="D8" s="6">
        <f>WRC_BurrOak_annual!H46</f>
        <v>23239.338842975209</v>
      </c>
      <c r="E8" s="6">
        <f>'C-BELOW'!N46</f>
        <v>48831</v>
      </c>
      <c r="F8" s="9">
        <f>LVKS_Out_AF!N46</f>
        <v>56800</v>
      </c>
      <c r="G8" s="8">
        <f t="shared" si="6"/>
        <v>0.56186364541488143</v>
      </c>
      <c r="H8" s="6">
        <f t="shared" si="0"/>
        <v>1189.1152026482694</v>
      </c>
      <c r="I8" s="6">
        <f t="shared" si="1"/>
        <v>28612.88479735173</v>
      </c>
      <c r="J8" s="6">
        <f t="shared" si="2"/>
        <v>20218.11520264827</v>
      </c>
      <c r="K8" s="9">
        <f t="shared" si="3"/>
        <v>7969</v>
      </c>
      <c r="L8" s="9"/>
      <c r="N8" s="6">
        <f>WRC_bl_Lovewell_USGS!N56</f>
        <v>7809.9540495867777</v>
      </c>
      <c r="P8">
        <v>1997</v>
      </c>
      <c r="S8" s="6">
        <v>1188.3135633835846</v>
      </c>
      <c r="T8" s="6">
        <f t="shared" si="7"/>
        <v>0.80163926468480895</v>
      </c>
      <c r="U8">
        <v>26310</v>
      </c>
      <c r="V8" s="6">
        <f t="shared" si="4"/>
        <v>-2302.8847973517295</v>
      </c>
      <c r="W8">
        <v>28846</v>
      </c>
      <c r="X8" s="6">
        <f t="shared" si="5"/>
        <v>-956</v>
      </c>
    </row>
    <row r="9" spans="1:24">
      <c r="A9">
        <v>1998</v>
      </c>
      <c r="B9" s="6">
        <v>267.01550000000009</v>
      </c>
      <c r="C9" s="6">
        <f>'C-LOV'!N47</f>
        <v>28570</v>
      </c>
      <c r="D9" s="6">
        <f>WRC_BurrOak_annual!H47</f>
        <v>33809.25619834711</v>
      </c>
      <c r="E9" s="6">
        <f>'C-BELOW'!N47</f>
        <v>49058</v>
      </c>
      <c r="F9" s="9">
        <f>LVKS_Out_AF!N47</f>
        <v>72557</v>
      </c>
      <c r="G9" s="8">
        <f t="shared" si="6"/>
        <v>0.45800481989006198</v>
      </c>
      <c r="H9" s="6">
        <f t="shared" si="0"/>
        <v>122.29438598535488</v>
      </c>
      <c r="I9" s="6">
        <f t="shared" si="1"/>
        <v>28447.705614014645</v>
      </c>
      <c r="J9" s="6">
        <f t="shared" si="2"/>
        <v>20610.294385985355</v>
      </c>
      <c r="K9" s="9">
        <f t="shared" si="3"/>
        <v>23499</v>
      </c>
      <c r="L9" s="9"/>
      <c r="N9" s="6">
        <f>WRC_bl_Lovewell_USGS!N57</f>
        <v>22099.628429752072</v>
      </c>
      <c r="P9">
        <v>1998</v>
      </c>
      <c r="S9" s="6">
        <v>122.31208163183913</v>
      </c>
      <c r="T9" s="6">
        <f t="shared" si="7"/>
        <v>-1.7695646484256145E-2</v>
      </c>
      <c r="U9">
        <v>31720</v>
      </c>
      <c r="V9" s="6">
        <f t="shared" si="4"/>
        <v>3272.2943859853549</v>
      </c>
      <c r="W9">
        <v>28570</v>
      </c>
      <c r="X9" s="6">
        <f t="shared" si="5"/>
        <v>0</v>
      </c>
    </row>
    <row r="10" spans="1:24">
      <c r="A10">
        <v>1999</v>
      </c>
      <c r="B10" s="6">
        <v>1945.7152499999995</v>
      </c>
      <c r="C10" s="6">
        <f>'C-LOV'!N48</f>
        <v>20851</v>
      </c>
      <c r="D10" s="6">
        <f>WRC_BurrOak_annual!H48</f>
        <v>15492.89256198347</v>
      </c>
      <c r="E10" s="6">
        <f>'C-BELOW'!N48</f>
        <v>49570</v>
      </c>
      <c r="F10" s="9">
        <f>LVKS_Out_AF!N48</f>
        <v>51259</v>
      </c>
      <c r="G10" s="8">
        <f t="shared" si="6"/>
        <v>0.57371400062443001</v>
      </c>
      <c r="H10" s="6">
        <f t="shared" si="0"/>
        <v>1116.2840801534628</v>
      </c>
      <c r="I10" s="6">
        <f t="shared" si="1"/>
        <v>19734.715919846538</v>
      </c>
      <c r="J10" s="6">
        <f t="shared" si="2"/>
        <v>29835.284080153462</v>
      </c>
      <c r="K10" s="9">
        <f t="shared" si="3"/>
        <v>1689</v>
      </c>
      <c r="L10" s="9"/>
      <c r="N10" s="6">
        <f>WRC_bl_Lovewell_USGS!N58</f>
        <v>94.817851239669409</v>
      </c>
      <c r="P10">
        <v>1999</v>
      </c>
      <c r="S10" s="6">
        <v>1116.5518935042269</v>
      </c>
      <c r="T10" s="6">
        <f t="shared" si="7"/>
        <v>-0.26781335076407231</v>
      </c>
      <c r="U10">
        <v>49000</v>
      </c>
      <c r="V10" s="6">
        <f t="shared" si="4"/>
        <v>29265.284080153462</v>
      </c>
      <c r="W10">
        <v>20851</v>
      </c>
      <c r="X10" s="6">
        <f t="shared" si="5"/>
        <v>0</v>
      </c>
    </row>
    <row r="11" spans="1:24">
      <c r="A11">
        <v>2000</v>
      </c>
      <c r="B11" s="6">
        <v>4124.2217083333326</v>
      </c>
      <c r="C11" s="6">
        <f>'C-LOV'!N49</f>
        <v>73479</v>
      </c>
      <c r="D11" s="6">
        <f>WRC_BurrOak_annual!H49</f>
        <v>4595.2661157024795</v>
      </c>
      <c r="E11" s="6">
        <f>'C-BELOW'!N49</f>
        <v>62745</v>
      </c>
      <c r="F11" s="9">
        <f>LVKS_Out_AF!N49</f>
        <v>65055</v>
      </c>
      <c r="G11" s="8">
        <f t="shared" si="6"/>
        <v>0.94114237194503358</v>
      </c>
      <c r="H11" s="6">
        <f t="shared" si="0"/>
        <v>3881.4798010080312</v>
      </c>
      <c r="I11" s="6">
        <f t="shared" si="1"/>
        <v>62745</v>
      </c>
      <c r="J11" s="6">
        <f t="shared" si="2"/>
        <v>0</v>
      </c>
      <c r="K11" s="9">
        <f t="shared" si="3"/>
        <v>2310</v>
      </c>
      <c r="L11" s="9"/>
      <c r="N11" s="6">
        <f>WRC_bl_Lovewell_USGS!N59</f>
        <v>81.214214876033054</v>
      </c>
      <c r="P11">
        <v>2000</v>
      </c>
      <c r="S11" s="6">
        <v>3882.1973120071225</v>
      </c>
      <c r="T11" s="6">
        <f t="shared" si="7"/>
        <v>-0.71751099909124605</v>
      </c>
      <c r="U11">
        <v>41250</v>
      </c>
      <c r="V11" s="6">
        <f t="shared" si="4"/>
        <v>-21495</v>
      </c>
      <c r="W11">
        <v>73479</v>
      </c>
      <c r="X11" s="6">
        <f t="shared" si="5"/>
        <v>0</v>
      </c>
    </row>
    <row r="12" spans="1:24">
      <c r="A12">
        <v>2001</v>
      </c>
      <c r="B12" s="6">
        <v>-219.49437499999951</v>
      </c>
      <c r="C12" s="6">
        <f>'C-LOV'!N50</f>
        <v>30909</v>
      </c>
      <c r="D12" s="6">
        <f>WRC_BurrOak_annual!H50</f>
        <v>23022.14876033058</v>
      </c>
      <c r="E12" s="6">
        <f>'C-BELOW'!N50</f>
        <v>47244</v>
      </c>
      <c r="F12" s="9">
        <f>LVKS_Out_AF!N50</f>
        <v>56452</v>
      </c>
      <c r="G12" s="8">
        <f t="shared" si="6"/>
        <v>0.57311962957361151</v>
      </c>
      <c r="H12" s="6">
        <f t="shared" si="0"/>
        <v>-125.7965348934911</v>
      </c>
      <c r="I12" s="6">
        <f t="shared" si="1"/>
        <v>31034.796534893492</v>
      </c>
      <c r="J12" s="6">
        <f t="shared" si="2"/>
        <v>16209.203465106508</v>
      </c>
      <c r="K12" s="9">
        <f t="shared" si="3"/>
        <v>9208</v>
      </c>
      <c r="L12" s="9"/>
      <c r="N12" s="6">
        <f>WRC_bl_Lovewell_USGS!N60</f>
        <v>9305.2413223140502</v>
      </c>
      <c r="P12">
        <v>2001</v>
      </c>
      <c r="S12" s="6">
        <v>-125.78717844338362</v>
      </c>
      <c r="T12" s="6">
        <f t="shared" si="7"/>
        <v>-9.3564501074752116E-3</v>
      </c>
      <c r="U12">
        <v>25920</v>
      </c>
      <c r="V12" s="6">
        <f t="shared" si="4"/>
        <v>-5114.7965348934922</v>
      </c>
      <c r="W12">
        <v>26117</v>
      </c>
      <c r="X12" s="6">
        <f t="shared" si="5"/>
        <v>-4792</v>
      </c>
    </row>
    <row r="13" spans="1:24">
      <c r="A13">
        <v>2002</v>
      </c>
      <c r="B13" s="6">
        <v>2740.8289583333335</v>
      </c>
      <c r="C13" s="6">
        <f>'C-LOV'!N51</f>
        <v>44153</v>
      </c>
      <c r="D13" s="6">
        <f>WRC_BurrOak_annual!H51</f>
        <v>4778.181818181818</v>
      </c>
      <c r="E13" s="6">
        <f>'C-BELOW'!N51</f>
        <v>46557</v>
      </c>
      <c r="F13" s="9">
        <f>LVKS_Out_AF!N51</f>
        <v>51478</v>
      </c>
      <c r="G13" s="8">
        <f>C13/(C13+$G$5*D13)</f>
        <v>0.90234893904797653</v>
      </c>
      <c r="H13" s="6">
        <f t="shared" si="0"/>
        <v>2473.1841026640541</v>
      </c>
      <c r="I13" s="6">
        <f t="shared" si="1"/>
        <v>41679.815897335946</v>
      </c>
      <c r="J13" s="6">
        <f t="shared" si="2"/>
        <v>4877.1841026640541</v>
      </c>
      <c r="K13" s="9">
        <f t="shared" si="3"/>
        <v>4921</v>
      </c>
      <c r="L13" s="9"/>
      <c r="N13" s="6">
        <f>WRC_bl_Lovewell_USGS!N61</f>
        <v>133.81190082644628</v>
      </c>
      <c r="P13">
        <v>2002</v>
      </c>
      <c r="S13" s="6">
        <v>2472.6198080501413</v>
      </c>
      <c r="T13" s="6">
        <f t="shared" si="7"/>
        <v>0.56429461391280711</v>
      </c>
      <c r="U13">
        <v>32420</v>
      </c>
      <c r="V13" s="6">
        <f t="shared" si="4"/>
        <v>-9259.8158973359459</v>
      </c>
      <c r="W13">
        <v>44371</v>
      </c>
      <c r="X13" s="6">
        <f t="shared" si="5"/>
        <v>218</v>
      </c>
    </row>
    <row r="14" spans="1:24">
      <c r="A14">
        <f>1+A13</f>
        <v>2003</v>
      </c>
      <c r="B14" s="6">
        <v>857.22770833333288</v>
      </c>
      <c r="C14" s="6">
        <f>'C-LOV'!N52</f>
        <v>26596</v>
      </c>
      <c r="D14" s="6">
        <f>WRC_BurrOak_annual!H52</f>
        <v>1715.8016528925621</v>
      </c>
      <c r="E14" s="6">
        <f>'C-BELOW'!N52</f>
        <v>35606</v>
      </c>
      <c r="F14" s="9">
        <f>LVKS_Out_AF!N52</f>
        <v>39079</v>
      </c>
      <c r="G14" s="8">
        <f t="shared" si="6"/>
        <v>0.93939623928111049</v>
      </c>
      <c r="H14" s="6">
        <f t="shared" si="0"/>
        <v>805.27648541589758</v>
      </c>
      <c r="I14" s="6">
        <f t="shared" si="1"/>
        <v>25790.723514584104</v>
      </c>
      <c r="J14" s="6">
        <f t="shared" si="2"/>
        <v>9815.2764854158959</v>
      </c>
      <c r="K14" s="9">
        <f t="shared" si="3"/>
        <v>3473</v>
      </c>
      <c r="L14" s="9"/>
      <c r="P14">
        <f>1+P13</f>
        <v>2003</v>
      </c>
      <c r="S14" s="6">
        <v>670</v>
      </c>
      <c r="T14" s="6">
        <f t="shared" si="7"/>
        <v>135.27648541589758</v>
      </c>
      <c r="U14">
        <v>21270</v>
      </c>
      <c r="V14" s="6">
        <f t="shared" si="4"/>
        <v>-4520.7235145841041</v>
      </c>
      <c r="W14">
        <v>26595</v>
      </c>
      <c r="X14" s="6">
        <f t="shared" si="5"/>
        <v>-1</v>
      </c>
    </row>
    <row r="15" spans="1:24">
      <c r="A15">
        <f t="shared" ref="A15:A31" si="8">1+A14</f>
        <v>2004</v>
      </c>
      <c r="B15" s="6">
        <v>941.51666666666665</v>
      </c>
      <c r="C15" s="6">
        <f>'C-LOV'!N53</f>
        <v>14130</v>
      </c>
      <c r="D15" s="6">
        <f>WRC_BurrOak_annual!H53</f>
        <v>2039.9206611570248</v>
      </c>
      <c r="E15" s="6">
        <f>'C-BELOW'!N53</f>
        <v>30134</v>
      </c>
      <c r="F15" s="9">
        <f>LVKS_Out_AF!N53</f>
        <v>35243</v>
      </c>
      <c r="G15" s="8">
        <f t="shared" si="6"/>
        <v>0.87384473282807928</v>
      </c>
      <c r="H15" s="6">
        <f t="shared" si="0"/>
        <v>822.7393800365171</v>
      </c>
      <c r="I15" s="6">
        <f t="shared" si="1"/>
        <v>13307.260619963483</v>
      </c>
      <c r="J15" s="6">
        <f t="shared" si="2"/>
        <v>16826.739380036517</v>
      </c>
      <c r="K15" s="9">
        <f t="shared" si="3"/>
        <v>5109</v>
      </c>
      <c r="L15" s="9"/>
      <c r="P15">
        <v>2004</v>
      </c>
      <c r="Q15" s="9">
        <v>1022.5073750000001</v>
      </c>
      <c r="R15" s="50">
        <v>0.59341554738969893</v>
      </c>
      <c r="S15" s="6">
        <v>1110</v>
      </c>
      <c r="T15" s="6">
        <f t="shared" si="7"/>
        <v>-287.2606199634829</v>
      </c>
      <c r="U15">
        <v>25590</v>
      </c>
      <c r="V15" s="6">
        <f t="shared" si="4"/>
        <v>12282.739380036517</v>
      </c>
      <c r="W15">
        <v>14130</v>
      </c>
      <c r="X15" s="6">
        <f t="shared" si="5"/>
        <v>0</v>
      </c>
    </row>
    <row r="16" spans="1:24">
      <c r="A16">
        <f t="shared" si="8"/>
        <v>2005</v>
      </c>
      <c r="B16" s="6">
        <v>3065.7194583333335</v>
      </c>
      <c r="C16" s="6">
        <f>'C-LOV'!N54</f>
        <v>29265</v>
      </c>
      <c r="D16" s="6">
        <f>WRC_BurrOak_annual!H54</f>
        <v>3663.272727272727</v>
      </c>
      <c r="E16" s="6">
        <f>'C-BELOW'!N54</f>
        <v>25916</v>
      </c>
      <c r="F16" s="9">
        <f>LVKS_Out_AF!N54</f>
        <v>25473</v>
      </c>
      <c r="G16" s="8">
        <f t="shared" si="6"/>
        <v>0.88874992752842952</v>
      </c>
      <c r="H16" s="6">
        <f t="shared" si="0"/>
        <v>2724.6579464162464</v>
      </c>
      <c r="I16" s="6">
        <f t="shared" si="1"/>
        <v>25916</v>
      </c>
      <c r="J16" s="6">
        <f t="shared" si="2"/>
        <v>0</v>
      </c>
      <c r="K16" s="9">
        <f t="shared" si="3"/>
        <v>0</v>
      </c>
      <c r="L16" s="9"/>
      <c r="P16">
        <f>1+P15</f>
        <v>2005</v>
      </c>
      <c r="Q16" s="9">
        <v>3065.7194583333335</v>
      </c>
      <c r="R16" s="50"/>
      <c r="S16" s="6">
        <v>2020</v>
      </c>
      <c r="T16" s="6">
        <f>H16-S16</f>
        <v>704.65794641624643</v>
      </c>
      <c r="U16">
        <v>25590</v>
      </c>
      <c r="V16" s="6">
        <f t="shared" si="4"/>
        <v>-326</v>
      </c>
      <c r="W16">
        <v>29265</v>
      </c>
      <c r="X16" s="6">
        <f t="shared" si="5"/>
        <v>0</v>
      </c>
    </row>
    <row r="17" spans="1:24">
      <c r="A17">
        <f t="shared" si="8"/>
        <v>2006</v>
      </c>
      <c r="B17" s="6">
        <v>3661.0125416666669</v>
      </c>
      <c r="C17" s="6">
        <f>'C-LOV'!N55</f>
        <v>19093.170999999998</v>
      </c>
      <c r="D17" s="6">
        <f>WRC_BurrOak_annual!H55</f>
        <v>1817.1570247933885</v>
      </c>
      <c r="E17" s="6">
        <f>'C-BELOW'!N55</f>
        <v>27851</v>
      </c>
      <c r="F17" s="9">
        <f>LVKS_Out_AF!N55</f>
        <v>28066</v>
      </c>
      <c r="G17" s="8">
        <f t="shared" si="6"/>
        <v>0.91309763181912862</v>
      </c>
      <c r="H17" s="6">
        <f t="shared" si="0"/>
        <v>3342.8618818559626</v>
      </c>
      <c r="I17" s="6">
        <f t="shared" si="1"/>
        <v>15750.309118144036</v>
      </c>
      <c r="J17" s="6">
        <f t="shared" si="2"/>
        <v>12100.690881855964</v>
      </c>
      <c r="K17" s="9">
        <f t="shared" si="3"/>
        <v>215</v>
      </c>
      <c r="L17" s="9"/>
      <c r="P17">
        <f t="shared" ref="P17:P31" si="9">1+P16</f>
        <v>2006</v>
      </c>
      <c r="Q17" s="9">
        <v>3710.8114583333336</v>
      </c>
      <c r="R17" s="50">
        <v>0.74393775475212254</v>
      </c>
      <c r="S17" s="6">
        <v>1770</v>
      </c>
      <c r="T17" s="6">
        <f t="shared" si="7"/>
        <v>1572.8618818559626</v>
      </c>
      <c r="U17">
        <v>28066</v>
      </c>
      <c r="V17" s="6">
        <f t="shared" si="4"/>
        <v>12315.690881855964</v>
      </c>
      <c r="W17">
        <v>19094.007000000001</v>
      </c>
      <c r="X17" s="6">
        <f t="shared" si="5"/>
        <v>0.83600000000296859</v>
      </c>
    </row>
    <row r="18" spans="1:24">
      <c r="A18">
        <f t="shared" si="8"/>
        <v>2007</v>
      </c>
      <c r="B18" s="6">
        <v>879.51079166666716</v>
      </c>
      <c r="C18" s="6">
        <f>'C-LOV'!N56</f>
        <v>34687.646349999995</v>
      </c>
      <c r="D18" s="6">
        <f>WRC_BurrOak_annual!H56</f>
        <v>7529.2561983471078</v>
      </c>
      <c r="E18" s="6">
        <f>'C-BELOW'!N56</f>
        <v>35101</v>
      </c>
      <c r="F18" s="9">
        <f>LVKS_Out_AF!N56</f>
        <v>36662</v>
      </c>
      <c r="G18" s="8">
        <f t="shared" si="6"/>
        <v>0.82165304075246759</v>
      </c>
      <c r="H18" s="6">
        <f t="shared" si="0"/>
        <v>722.65271634752708</v>
      </c>
      <c r="I18" s="6">
        <f t="shared" si="1"/>
        <v>33964.99363365247</v>
      </c>
      <c r="J18" s="6">
        <f t="shared" si="2"/>
        <v>1136.0063663475303</v>
      </c>
      <c r="K18" s="9">
        <f t="shared" si="3"/>
        <v>1561</v>
      </c>
      <c r="L18" s="9"/>
      <c r="P18">
        <f t="shared" si="9"/>
        <v>2007</v>
      </c>
      <c r="Q18" s="9">
        <v>796.09729166666693</v>
      </c>
      <c r="R18" s="50">
        <v>0.71199733618416117</v>
      </c>
      <c r="S18" s="6">
        <v>130</v>
      </c>
      <c r="T18" s="6">
        <f t="shared" si="7"/>
        <v>592.65271634752708</v>
      </c>
      <c r="U18">
        <v>35960</v>
      </c>
      <c r="V18" s="6">
        <f t="shared" si="4"/>
        <v>1995.0063663475303</v>
      </c>
      <c r="W18">
        <v>34687</v>
      </c>
      <c r="X18" s="6">
        <f t="shared" si="5"/>
        <v>-0.64634999999543652</v>
      </c>
    </row>
    <row r="19" spans="1:24">
      <c r="A19">
        <f t="shared" si="8"/>
        <v>2008</v>
      </c>
      <c r="B19" s="6">
        <v>233.25541666666663</v>
      </c>
      <c r="C19" s="6">
        <f>'C-LOV'!N57</f>
        <v>7657</v>
      </c>
      <c r="D19" s="6">
        <f>WRC_BurrOak_annual!H57</f>
        <v>41233.983471074382</v>
      </c>
      <c r="E19" s="6">
        <f>'C-BELOW'!N57</f>
        <v>30016</v>
      </c>
      <c r="F19" s="9">
        <f>LVKS_Out_AF!N57</f>
        <v>82384</v>
      </c>
      <c r="G19" s="8">
        <f t="shared" si="6"/>
        <v>0.15661374462901015</v>
      </c>
      <c r="H19" s="6">
        <f t="shared" si="0"/>
        <v>36.531004259166686</v>
      </c>
      <c r="I19" s="6">
        <f t="shared" si="1"/>
        <v>7620.4689957408336</v>
      </c>
      <c r="J19" s="6">
        <f t="shared" si="2"/>
        <v>22395.531004259166</v>
      </c>
      <c r="K19" s="9">
        <f t="shared" si="3"/>
        <v>52368</v>
      </c>
      <c r="L19" s="9"/>
      <c r="P19">
        <f t="shared" si="9"/>
        <v>2008</v>
      </c>
      <c r="Q19" s="9">
        <v>447.88895833333345</v>
      </c>
      <c r="R19" s="50">
        <v>9.2420606285825824E-2</v>
      </c>
      <c r="S19" s="6">
        <v>10</v>
      </c>
      <c r="T19" s="6">
        <f t="shared" si="7"/>
        <v>26.531004259166686</v>
      </c>
      <c r="U19">
        <v>11280</v>
      </c>
      <c r="V19" s="6">
        <f t="shared" si="4"/>
        <v>3659.5310042591664</v>
      </c>
      <c r="W19">
        <v>7657</v>
      </c>
      <c r="X19" s="6">
        <f t="shared" si="5"/>
        <v>0</v>
      </c>
    </row>
    <row r="20" spans="1:24">
      <c r="A20">
        <f t="shared" si="8"/>
        <v>2009</v>
      </c>
      <c r="B20" s="6">
        <v>3008.2116250000004</v>
      </c>
      <c r="C20" s="6">
        <f>'C-LOV'!N58</f>
        <v>17608</v>
      </c>
      <c r="D20" s="6">
        <f>WRC_BurrOak_annual!H58</f>
        <v>10859.504132231405</v>
      </c>
      <c r="E20" s="6">
        <f>'C-BELOW'!N58</f>
        <v>35631</v>
      </c>
      <c r="F20" s="9">
        <f>LVKS_Out_AF!N58</f>
        <v>38799</v>
      </c>
      <c r="G20" s="8">
        <f t="shared" si="6"/>
        <v>0.61852981273703989</v>
      </c>
      <c r="H20" s="6">
        <f t="shared" si="0"/>
        <v>1860.6685730846366</v>
      </c>
      <c r="I20" s="6">
        <f t="shared" si="1"/>
        <v>15747.331426915363</v>
      </c>
      <c r="J20" s="6">
        <f t="shared" si="2"/>
        <v>19883.668573084637</v>
      </c>
      <c r="K20" s="9">
        <f t="shared" si="3"/>
        <v>3168</v>
      </c>
      <c r="L20" s="9"/>
      <c r="P20">
        <f t="shared" si="9"/>
        <v>2009</v>
      </c>
      <c r="Q20" s="9">
        <v>2915.840791666667</v>
      </c>
      <c r="R20" s="50">
        <v>0.52590800622846656</v>
      </c>
      <c r="S20" s="6">
        <v>130</v>
      </c>
      <c r="T20" s="6">
        <f t="shared" si="7"/>
        <v>1730.6685730846366</v>
      </c>
      <c r="U20">
        <v>12560</v>
      </c>
      <c r="V20" s="6">
        <f t="shared" si="4"/>
        <v>-3187.3314269153634</v>
      </c>
      <c r="W20">
        <v>13655</v>
      </c>
      <c r="X20" s="6">
        <f t="shared" si="5"/>
        <v>-3953</v>
      </c>
    </row>
    <row r="21" spans="1:24">
      <c r="A21">
        <f t="shared" si="8"/>
        <v>2010</v>
      </c>
      <c r="B21" s="51">
        <v>2336.2282083333334</v>
      </c>
      <c r="C21" s="6">
        <f>'C-LOV'!N59</f>
        <v>18030</v>
      </c>
      <c r="D21" s="6">
        <f>WRC_BurrOak_annual!H59</f>
        <v>28958.677685950413</v>
      </c>
      <c r="E21" s="6">
        <f>'C-BELOW'!N59</f>
        <v>38043</v>
      </c>
      <c r="F21" s="9">
        <f>LVKS_Out_AF!N59</f>
        <v>55104</v>
      </c>
      <c r="G21" s="8">
        <f t="shared" si="6"/>
        <v>0.38370945699948816</v>
      </c>
      <c r="H21" s="6">
        <f t="shared" si="0"/>
        <v>896.43285724647046</v>
      </c>
      <c r="I21" s="6">
        <f t="shared" si="1"/>
        <v>17133.567142753531</v>
      </c>
      <c r="J21" s="6">
        <f t="shared" si="2"/>
        <v>20909.432857246469</v>
      </c>
      <c r="K21" s="9">
        <f t="shared" si="3"/>
        <v>17061</v>
      </c>
      <c r="L21" s="9"/>
      <c r="P21">
        <f t="shared" si="9"/>
        <v>2010</v>
      </c>
      <c r="Q21" s="9">
        <v>2330.8201250000006</v>
      </c>
      <c r="R21" s="50">
        <v>0.31117420821615932</v>
      </c>
      <c r="S21" s="6">
        <v>330</v>
      </c>
      <c r="T21" s="6">
        <f t="shared" si="7"/>
        <v>566.43285724647046</v>
      </c>
      <c r="U21">
        <v>20410</v>
      </c>
      <c r="V21" s="6">
        <f t="shared" si="4"/>
        <v>3276.4328572464692</v>
      </c>
      <c r="W21">
        <v>18030</v>
      </c>
      <c r="X21" s="6">
        <f t="shared" si="5"/>
        <v>0</v>
      </c>
    </row>
    <row r="22" spans="1:24">
      <c r="A22">
        <f t="shared" si="8"/>
        <v>2011</v>
      </c>
      <c r="B22" s="6">
        <v>2099.0838750000003</v>
      </c>
      <c r="C22" s="6">
        <f>'C-LOV'!N60</f>
        <v>10316</v>
      </c>
      <c r="D22" s="6">
        <f>WRC_BurrOak_annual!H60</f>
        <v>55890.247933884297</v>
      </c>
      <c r="E22" s="6">
        <f>'C-BELOW'!N60</f>
        <v>36183</v>
      </c>
      <c r="F22" s="9">
        <f>LVKS_Out_AF!N60</f>
        <v>68792</v>
      </c>
      <c r="G22" s="8">
        <f t="shared" si="6"/>
        <v>0.15581610983757743</v>
      </c>
      <c r="H22" s="6">
        <f t="shared" si="0"/>
        <v>327.07108362528771</v>
      </c>
      <c r="I22" s="6">
        <f t="shared" si="1"/>
        <v>9988.9289163747126</v>
      </c>
      <c r="J22" s="6">
        <f t="shared" si="2"/>
        <v>26194.071083625287</v>
      </c>
      <c r="K22" s="9">
        <f t="shared" si="3"/>
        <v>32609</v>
      </c>
      <c r="L22" s="9"/>
      <c r="P22">
        <f t="shared" si="9"/>
        <v>2011</v>
      </c>
      <c r="Q22" s="9">
        <v>2356.2681249999996</v>
      </c>
      <c r="R22" s="50">
        <v>0.13568351825942351</v>
      </c>
      <c r="S22" s="6">
        <v>-160</v>
      </c>
      <c r="T22" s="6">
        <f t="shared" si="7"/>
        <v>487.07108362528771</v>
      </c>
      <c r="U22">
        <v>12710</v>
      </c>
      <c r="V22" s="6">
        <f t="shared" si="4"/>
        <v>2721.0710836252874</v>
      </c>
      <c r="W22">
        <v>10316</v>
      </c>
      <c r="X22" s="6">
        <f t="shared" si="5"/>
        <v>0</v>
      </c>
    </row>
    <row r="23" spans="1:24">
      <c r="A23">
        <f t="shared" si="8"/>
        <v>2012</v>
      </c>
      <c r="B23" s="6">
        <v>4598.1729583333336</v>
      </c>
      <c r="C23" s="6">
        <f>'C-LOV'!N61</f>
        <v>37353</v>
      </c>
      <c r="D23" s="6">
        <f>WRC_BurrOak_annual!H61</f>
        <v>6700.5223140495873</v>
      </c>
      <c r="E23" s="6">
        <f>'C-BELOW'!N61</f>
        <v>50078</v>
      </c>
      <c r="F23" s="9">
        <f>LVKS_Out_AF!N61</f>
        <v>50086.173684999987</v>
      </c>
      <c r="G23" s="8">
        <f t="shared" si="6"/>
        <v>0.84790041835286689</v>
      </c>
      <c r="H23" s="6">
        <f t="shared" si="0"/>
        <v>3898.7927750296731</v>
      </c>
      <c r="I23" s="6">
        <f t="shared" si="1"/>
        <v>33454.207224970327</v>
      </c>
      <c r="J23" s="6">
        <f t="shared" si="2"/>
        <v>16623.792775029673</v>
      </c>
      <c r="K23" s="9">
        <f t="shared" si="3"/>
        <v>8.1736849999870174</v>
      </c>
      <c r="L23" s="9"/>
      <c r="P23">
        <f t="shared" si="9"/>
        <v>2012</v>
      </c>
      <c r="Q23" s="9">
        <v>4598.1729583333336</v>
      </c>
      <c r="R23" s="50">
        <v>0.82400250340606529</v>
      </c>
      <c r="S23" s="6">
        <v>760</v>
      </c>
      <c r="T23" s="6">
        <f t="shared" si="7"/>
        <v>3138.7927750296731</v>
      </c>
      <c r="U23">
        <v>26840</v>
      </c>
      <c r="V23" s="6">
        <f t="shared" si="4"/>
        <v>-6614.2072249703269</v>
      </c>
      <c r="W23">
        <v>30341</v>
      </c>
      <c r="X23" s="6">
        <f t="shared" si="5"/>
        <v>-7012</v>
      </c>
    </row>
    <row r="24" spans="1:24">
      <c r="A24">
        <f t="shared" si="8"/>
        <v>2013</v>
      </c>
      <c r="B24" s="6">
        <v>1781.1726249999999</v>
      </c>
      <c r="C24" s="6">
        <f>'C-LOV'!N62</f>
        <v>38432</v>
      </c>
      <c r="D24" s="6">
        <f>WRC_BurrOak_annual!H62</f>
        <v>2222.5785123966944</v>
      </c>
      <c r="E24" s="6">
        <f>'C-BELOW'!N62</f>
        <v>40139</v>
      </c>
      <c r="F24" s="9">
        <f>LVKS_Out_AF!N62</f>
        <v>39340.299999999996</v>
      </c>
      <c r="G24" s="8">
        <f t="shared" si="6"/>
        <v>0.94533017943553477</v>
      </c>
      <c r="H24" s="6">
        <f t="shared" si="0"/>
        <v>1683.7962371969124</v>
      </c>
      <c r="I24" s="6">
        <f t="shared" si="1"/>
        <v>36748.203762803088</v>
      </c>
      <c r="J24" s="6">
        <f t="shared" si="2"/>
        <v>3390.7962371969115</v>
      </c>
      <c r="K24" s="9">
        <f t="shared" si="3"/>
        <v>0</v>
      </c>
      <c r="L24" s="9"/>
      <c r="P24">
        <f t="shared" si="9"/>
        <v>2013</v>
      </c>
      <c r="Q24" s="9">
        <v>1781.1726250000004</v>
      </c>
      <c r="R24" s="50">
        <v>0.93667653683189933</v>
      </c>
      <c r="S24" s="6">
        <v>800</v>
      </c>
      <c r="T24" s="6">
        <f t="shared" si="7"/>
        <v>883.79623719691244</v>
      </c>
      <c r="U24">
        <v>37250</v>
      </c>
      <c r="V24" s="6">
        <f t="shared" si="4"/>
        <v>501.79623719691153</v>
      </c>
      <c r="W24">
        <v>15461</v>
      </c>
      <c r="X24" s="6">
        <f t="shared" si="5"/>
        <v>-22971</v>
      </c>
    </row>
    <row r="25" spans="1:24">
      <c r="A25">
        <f t="shared" si="8"/>
        <v>2014</v>
      </c>
      <c r="B25" s="6">
        <v>2656.867541666667</v>
      </c>
      <c r="C25" s="6">
        <f>'C-LOV'!N63</f>
        <v>36450</v>
      </c>
      <c r="D25" s="6">
        <f>WRC_BurrOak_annual!H63</f>
        <v>5813.454545454545</v>
      </c>
      <c r="E25" s="6">
        <f>'C-BELOW'!N63</f>
        <v>32108</v>
      </c>
      <c r="F25" s="9">
        <f>LVKS_Out_AF!N63</f>
        <v>32272</v>
      </c>
      <c r="G25" s="8">
        <f t="shared" si="6"/>
        <v>0.86244724649277904</v>
      </c>
      <c r="H25" s="6">
        <f t="shared" si="0"/>
        <v>2291.4080956064558</v>
      </c>
      <c r="I25" s="6">
        <f t="shared" si="1"/>
        <v>32108</v>
      </c>
      <c r="J25" s="6">
        <f t="shared" si="2"/>
        <v>0</v>
      </c>
      <c r="K25" s="9">
        <f t="shared" si="3"/>
        <v>164</v>
      </c>
      <c r="L25" s="9"/>
      <c r="P25">
        <f t="shared" si="9"/>
        <v>2014</v>
      </c>
      <c r="Q25" s="9">
        <v>2656.8675416666661</v>
      </c>
      <c r="R25" s="50">
        <v>0.86675373353898255</v>
      </c>
      <c r="S25" s="6">
        <v>1380</v>
      </c>
      <c r="T25" s="6">
        <f t="shared" si="7"/>
        <v>911.40809560645584</v>
      </c>
      <c r="U25">
        <v>32108</v>
      </c>
      <c r="V25" s="6">
        <f t="shared" si="4"/>
        <v>0</v>
      </c>
      <c r="W25">
        <v>34061</v>
      </c>
      <c r="X25" s="6">
        <f t="shared" si="5"/>
        <v>-2389</v>
      </c>
    </row>
    <row r="26" spans="1:24">
      <c r="A26">
        <f t="shared" si="8"/>
        <v>2015</v>
      </c>
      <c r="B26" s="6">
        <v>301.39516666666657</v>
      </c>
      <c r="C26" s="6">
        <f>'C-LOV'!N64</f>
        <v>30533</v>
      </c>
      <c r="D26" s="6">
        <f>WRC_BurrOak_annual!H64</f>
        <v>15130.90909090909</v>
      </c>
      <c r="E26" s="6">
        <f>'C-BELOW'!N64</f>
        <v>31544</v>
      </c>
      <c r="F26" s="9">
        <f>LVKS_Out_AF!N64</f>
        <v>58073</v>
      </c>
      <c r="G26" s="8">
        <f t="shared" si="6"/>
        <v>0.66864621553126302</v>
      </c>
      <c r="H26" s="6">
        <f t="shared" si="0"/>
        <v>201.52673757108087</v>
      </c>
      <c r="I26" s="6">
        <f t="shared" si="1"/>
        <v>30331.473262428921</v>
      </c>
      <c r="J26" s="6">
        <f t="shared" si="2"/>
        <v>1212.5267375710791</v>
      </c>
      <c r="K26" s="9">
        <f t="shared" si="3"/>
        <v>26529</v>
      </c>
      <c r="L26" s="9"/>
      <c r="P26">
        <f t="shared" si="9"/>
        <v>2015</v>
      </c>
      <c r="Q26" s="9">
        <v>301.39516666666611</v>
      </c>
      <c r="R26" s="50">
        <v>0.48457852863429191</v>
      </c>
      <c r="S26" s="6">
        <v>300</v>
      </c>
      <c r="T26" s="6">
        <f t="shared" si="7"/>
        <v>-98.473262428919128</v>
      </c>
      <c r="U26">
        <v>31544</v>
      </c>
      <c r="V26" s="6">
        <f t="shared" si="4"/>
        <v>1212.5267375710791</v>
      </c>
      <c r="W26">
        <v>12731</v>
      </c>
      <c r="X26" s="6">
        <f t="shared" si="5"/>
        <v>-17802</v>
      </c>
    </row>
    <row r="27" spans="1:24">
      <c r="A27">
        <f t="shared" si="8"/>
        <v>2016</v>
      </c>
      <c r="B27" s="6">
        <v>1532.2242499999998</v>
      </c>
      <c r="C27" s="6">
        <f>'C-LOV'!N65</f>
        <v>15798</v>
      </c>
      <c r="D27" s="6">
        <f>WRC_BurrOak_annual!H65</f>
        <v>10308.495867768595</v>
      </c>
      <c r="E27" s="6">
        <f>'C-BELOW'!N65</f>
        <v>28871</v>
      </c>
      <c r="F27" s="9">
        <f>LVKS_Out_AF!N65</f>
        <v>35400</v>
      </c>
      <c r="G27" s="8">
        <f>C27/(C27+$G$5*D27)</f>
        <v>0.6051367475749363</v>
      </c>
      <c r="H27" s="6">
        <f t="shared" si="0"/>
        <v>927.20519920044592</v>
      </c>
      <c r="I27" s="6">
        <f t="shared" si="1"/>
        <v>14870.794800799555</v>
      </c>
      <c r="J27" s="6">
        <f t="shared" si="2"/>
        <v>14000.205199200445</v>
      </c>
      <c r="K27" s="9">
        <f t="shared" si="3"/>
        <v>6529</v>
      </c>
      <c r="L27" s="9"/>
      <c r="P27">
        <f t="shared" si="9"/>
        <v>2016</v>
      </c>
      <c r="Q27" s="9">
        <v>1507.6450833333333</v>
      </c>
      <c r="R27" s="50">
        <v>0.41546520348414034</v>
      </c>
      <c r="S27" s="6">
        <v>-40</v>
      </c>
      <c r="T27" s="6">
        <f t="shared" si="7"/>
        <v>967.20519920044592</v>
      </c>
      <c r="U27">
        <v>31544</v>
      </c>
      <c r="V27" s="6">
        <f t="shared" si="4"/>
        <v>16673.205199200445</v>
      </c>
      <c r="W27">
        <v>15798</v>
      </c>
      <c r="X27" s="6">
        <f t="shared" si="5"/>
        <v>0</v>
      </c>
    </row>
    <row r="28" spans="1:24">
      <c r="A28">
        <f t="shared" si="8"/>
        <v>2017</v>
      </c>
      <c r="B28" s="6">
        <v>4304.91</v>
      </c>
      <c r="C28" s="6">
        <f>'C-LOV'!N66</f>
        <v>28120</v>
      </c>
      <c r="D28" s="6">
        <f>WRC_BurrOak_annual!H66</f>
        <v>18533.553719008265</v>
      </c>
      <c r="E28" s="6">
        <f>'C-BELOW'!N66</f>
        <v>38000</v>
      </c>
      <c r="F28" s="9">
        <f>LVKS_Out_AF!N66</f>
        <v>49747</v>
      </c>
      <c r="G28" s="8">
        <f t="shared" si="6"/>
        <v>0.60274079375314427</v>
      </c>
      <c r="H28" s="6">
        <f>G28*B28</f>
        <v>2594.744870435848</v>
      </c>
      <c r="I28" s="6">
        <f t="shared" si="1"/>
        <v>25525.255129564153</v>
      </c>
      <c r="J28" s="6">
        <f t="shared" si="2"/>
        <v>12474.744870435847</v>
      </c>
      <c r="K28" s="9">
        <f t="shared" si="3"/>
        <v>11747</v>
      </c>
      <c r="L28" s="9"/>
      <c r="P28">
        <f t="shared" si="9"/>
        <v>2017</v>
      </c>
      <c r="Q28">
        <v>4310</v>
      </c>
      <c r="R28" s="50">
        <v>0.50020456445559169</v>
      </c>
      <c r="S28" s="6">
        <v>300</v>
      </c>
      <c r="T28" s="6">
        <f t="shared" si="7"/>
        <v>2294.744870435848</v>
      </c>
      <c r="U28">
        <v>14620</v>
      </c>
      <c r="V28" s="6">
        <f t="shared" si="4"/>
        <v>-10905.255129564153</v>
      </c>
      <c r="W28" s="6">
        <v>28120</v>
      </c>
      <c r="X28" s="6">
        <f t="shared" si="5"/>
        <v>0</v>
      </c>
    </row>
    <row r="29" spans="1:24">
      <c r="A29">
        <f t="shared" si="8"/>
        <v>2018</v>
      </c>
      <c r="B29" s="6">
        <v>-399.06462499999986</v>
      </c>
      <c r="C29" s="6">
        <f>'C-LOV'!N67</f>
        <v>19419</v>
      </c>
      <c r="D29" s="6">
        <f>WRC_BurrOak_annual!H67</f>
        <v>20560.661157024795</v>
      </c>
      <c r="E29" s="6">
        <f>'C-BELOW'!N67</f>
        <v>30608</v>
      </c>
      <c r="F29" s="9">
        <f>LVKS_Out_AF!N67</f>
        <v>44860</v>
      </c>
      <c r="G29" s="8">
        <f t="shared" si="6"/>
        <v>0.48572197557477059</v>
      </c>
      <c r="H29" s="6">
        <f t="shared" si="0"/>
        <v>-193.83445803700491</v>
      </c>
      <c r="I29" s="6">
        <f t="shared" si="1"/>
        <v>19612.834458037007</v>
      </c>
      <c r="J29" s="6">
        <f t="shared" si="2"/>
        <v>10995.165541962993</v>
      </c>
      <c r="K29" s="9">
        <f t="shared" si="3"/>
        <v>14252</v>
      </c>
      <c r="L29" s="9"/>
      <c r="P29">
        <f t="shared" si="9"/>
        <v>2018</v>
      </c>
      <c r="Q29" s="9">
        <v>-400</v>
      </c>
      <c r="R29" s="50">
        <v>0.32121943957389087</v>
      </c>
      <c r="S29" s="6">
        <v>-50</v>
      </c>
      <c r="T29" s="6">
        <f t="shared" si="7"/>
        <v>-143.83445803700491</v>
      </c>
      <c r="U29">
        <v>25610</v>
      </c>
      <c r="V29" s="6">
        <f t="shared" si="4"/>
        <v>5997.1655419629933</v>
      </c>
      <c r="W29">
        <v>19419</v>
      </c>
      <c r="X29" s="6">
        <f t="shared" si="5"/>
        <v>0</v>
      </c>
    </row>
    <row r="30" spans="1:24">
      <c r="A30">
        <f t="shared" si="8"/>
        <v>2019</v>
      </c>
      <c r="B30" s="6">
        <v>-711.89650000000051</v>
      </c>
      <c r="C30" s="6">
        <f>'C-LOV'!N68</f>
        <v>12136</v>
      </c>
      <c r="D30" s="6">
        <f>WRC_BurrOak_annual!H68</f>
        <v>54007.933884297512</v>
      </c>
      <c r="E30" s="6">
        <f>'C-BELOW'!N68</f>
        <v>19275</v>
      </c>
      <c r="F30" s="9">
        <f>LVKS_Out_AF!N68</f>
        <v>125547</v>
      </c>
      <c r="G30" s="8">
        <f>C30/(C30+$G$5*D30)</f>
        <v>0.18347865461447965</v>
      </c>
      <c r="H30" s="6">
        <f>G30*B30</f>
        <v>-130.61781204475702</v>
      </c>
      <c r="I30" s="6">
        <f t="shared" ref="I30:I32" si="10">MIN(C30-H30,E30)</f>
        <v>12266.617812044757</v>
      </c>
      <c r="J30" s="6">
        <f t="shared" ref="J30:J32" si="11">E30-I30</f>
        <v>7008.3821879552434</v>
      </c>
      <c r="K30" s="9">
        <f t="shared" ref="K30:K32" si="12">MAX(F30-E30,0)</f>
        <v>106272</v>
      </c>
      <c r="L30" s="9"/>
      <c r="P30">
        <f t="shared" si="9"/>
        <v>2019</v>
      </c>
      <c r="Q30" s="9">
        <v>-400</v>
      </c>
      <c r="R30" s="50">
        <v>0.32121943957389087</v>
      </c>
      <c r="S30" s="6">
        <v>-50</v>
      </c>
      <c r="T30" s="6">
        <f t="shared" ref="T30" si="13">H30-S30</f>
        <v>-80.617812044757017</v>
      </c>
      <c r="U30">
        <v>25610</v>
      </c>
      <c r="V30" s="6">
        <f t="shared" ref="V30" si="14">U30-I30</f>
        <v>13343.382187955243</v>
      </c>
      <c r="W30">
        <v>19419</v>
      </c>
      <c r="X30" s="6">
        <f t="shared" ref="X30" si="15">W30-C30</f>
        <v>7283</v>
      </c>
    </row>
    <row r="31" spans="1:24">
      <c r="A31">
        <f t="shared" si="8"/>
        <v>2020</v>
      </c>
      <c r="B31" s="6">
        <v>3962.5000833333324</v>
      </c>
      <c r="C31" s="98">
        <f>'C-LOV'!N69</f>
        <v>17473</v>
      </c>
      <c r="D31" s="6">
        <f>WRC_BurrOak_annual!H69</f>
        <v>28965.421487603307</v>
      </c>
      <c r="E31" s="6">
        <f>'C-BELOW'!N69</f>
        <v>24486</v>
      </c>
      <c r="F31" s="9">
        <f>LVKS_Out_AF!N69</f>
        <v>50962</v>
      </c>
      <c r="G31" s="8">
        <f>C31/(C31+$G$5*D31)</f>
        <v>0.37626171261364688</v>
      </c>
      <c r="H31" s="98">
        <f>G31*B31</f>
        <v>1490.9370675867181</v>
      </c>
      <c r="I31" s="98">
        <f t="shared" si="10"/>
        <v>15982.062932413282</v>
      </c>
      <c r="J31" s="6">
        <f t="shared" si="11"/>
        <v>8503.9370675867176</v>
      </c>
      <c r="K31" s="9">
        <f t="shared" si="12"/>
        <v>26476</v>
      </c>
      <c r="L31" s="9"/>
      <c r="P31">
        <f t="shared" si="9"/>
        <v>2020</v>
      </c>
    </row>
    <row r="32" spans="1:24">
      <c r="A32">
        <v>2021</v>
      </c>
      <c r="B32" s="6">
        <v>2185.9534166666667</v>
      </c>
      <c r="C32" s="6">
        <v>25941</v>
      </c>
      <c r="D32" s="6">
        <f>WRC_BurrOak_annual!H70</f>
        <v>18026.776859504134</v>
      </c>
      <c r="E32" s="6">
        <f>'C-BELOW'!N70</f>
        <v>25397</v>
      </c>
      <c r="F32" s="9">
        <f>LVKS_Out_AF!N70</f>
        <v>50283</v>
      </c>
      <c r="G32" s="8">
        <f>C32/(C32+$G$5*D32)</f>
        <v>0.59000026503256231</v>
      </c>
      <c r="H32" s="100">
        <f>G32*B32</f>
        <v>1289.7130951821684</v>
      </c>
      <c r="I32" s="100">
        <f t="shared" si="10"/>
        <v>24651.286904817833</v>
      </c>
      <c r="J32" s="6">
        <f t="shared" si="11"/>
        <v>745.71309518216731</v>
      </c>
      <c r="K32" s="9">
        <f t="shared" si="12"/>
        <v>24886</v>
      </c>
      <c r="L32" s="9"/>
    </row>
    <row r="33" spans="1:23">
      <c r="B33" s="6"/>
      <c r="C33" s="6"/>
      <c r="D33" s="6"/>
      <c r="E33" s="6"/>
      <c r="F33" s="6"/>
      <c r="G33" s="8"/>
      <c r="H33" s="6"/>
      <c r="I33" s="6"/>
      <c r="L33" s="9"/>
    </row>
    <row r="34" spans="1:23">
      <c r="B34" s="6"/>
      <c r="C34" s="6"/>
      <c r="D34" s="6"/>
      <c r="E34" s="6"/>
      <c r="F34" s="6"/>
      <c r="G34" s="8"/>
      <c r="H34" s="6"/>
      <c r="I34" s="6"/>
      <c r="L34" s="9"/>
    </row>
    <row r="35" spans="1:23">
      <c r="B35" s="6"/>
      <c r="C35" s="6"/>
      <c r="D35" s="6"/>
      <c r="E35" s="6"/>
      <c r="F35" s="6"/>
      <c r="G35" s="8"/>
      <c r="H35" s="6"/>
      <c r="I35" s="6"/>
      <c r="L35" s="9"/>
    </row>
    <row r="36" spans="1:23">
      <c r="B36" s="6"/>
      <c r="C36" s="61" t="s">
        <v>206</v>
      </c>
      <c r="F36" s="6"/>
      <c r="I36" s="6"/>
      <c r="L36" s="9"/>
    </row>
    <row r="37" spans="1:23">
      <c r="B37" s="6"/>
      <c r="C37" s="61" t="s">
        <v>180</v>
      </c>
      <c r="D37" s="10" t="s">
        <v>211</v>
      </c>
      <c r="E37" s="64" t="s">
        <v>187</v>
      </c>
      <c r="I37" s="6"/>
      <c r="L37" s="9"/>
    </row>
    <row r="38" spans="1:23">
      <c r="B38" s="6"/>
      <c r="C38" s="61" t="s">
        <v>181</v>
      </c>
      <c r="D38" s="10" t="s">
        <v>183</v>
      </c>
      <c r="E38" s="78" t="s">
        <v>186</v>
      </c>
      <c r="I38" s="6"/>
      <c r="L38" s="9"/>
    </row>
    <row r="39" spans="1:23">
      <c r="B39" s="6"/>
      <c r="C39" s="61" t="s">
        <v>182</v>
      </c>
      <c r="D39" s="10" t="s">
        <v>184</v>
      </c>
      <c r="E39" s="79" t="s">
        <v>185</v>
      </c>
      <c r="I39" s="6"/>
      <c r="L39" s="9"/>
    </row>
    <row r="40" spans="1:23">
      <c r="B40" s="6"/>
      <c r="C40" s="6"/>
      <c r="D40" s="6"/>
      <c r="E40" s="6"/>
      <c r="F40" s="6"/>
      <c r="G40" s="8"/>
      <c r="H40" s="6"/>
      <c r="I40" s="6"/>
      <c r="L40" s="9"/>
    </row>
    <row r="41" spans="1:23">
      <c r="A41" s="10" t="s">
        <v>317</v>
      </c>
      <c r="B41" s="6"/>
      <c r="C41" s="6">
        <f>AVERAGE(C11:C31)</f>
        <v>26744.657969047621</v>
      </c>
      <c r="D41" s="6">
        <f>AVERAGE(D11:D31)</f>
        <v>16587.949940968123</v>
      </c>
      <c r="E41" s="6"/>
      <c r="F41" s="6">
        <f>AVERAGE(F11:F31)</f>
        <v>50898.78446119048</v>
      </c>
      <c r="G41" s="8">
        <f>C41/(C41+ref!$F$9*D41)</f>
        <v>0.514761665657265</v>
      </c>
      <c r="H41" s="6">
        <f>AVERAGE(H11:H31)</f>
        <v>1453.8913337910319</v>
      </c>
      <c r="I41" s="6">
        <f>AVERAGE(I11:I31)</f>
        <v>24837.078342067576</v>
      </c>
      <c r="J41" s="6">
        <f>AVERAGE(J11:J31)</f>
        <v>10693.207372218141</v>
      </c>
      <c r="K41" s="6">
        <f>AVERAGE(K11:K31)</f>
        <v>15427.627318333332</v>
      </c>
      <c r="L41" s="6"/>
      <c r="P41" s="10" t="s">
        <v>212</v>
      </c>
      <c r="S41" s="6">
        <f>AVERAGE(S11:S29)</f>
        <v>825.73841797967793</v>
      </c>
      <c r="U41" s="6">
        <f>AVERAGE(U11:U29)</f>
        <v>25923.263157894737</v>
      </c>
      <c r="W41" s="6">
        <f>AVERAGE(W11:W29)</f>
        <v>24911.947736842103</v>
      </c>
    </row>
    <row r="42" spans="1:23">
      <c r="B42" s="6"/>
      <c r="C42" s="6"/>
      <c r="D42" s="6"/>
      <c r="E42" s="6"/>
      <c r="F42" s="6"/>
      <c r="G42" s="8"/>
      <c r="H42" s="6"/>
      <c r="I42" s="6"/>
      <c r="L42" s="9"/>
    </row>
    <row r="43" spans="1:23">
      <c r="B43" s="6"/>
      <c r="L43" s="9"/>
    </row>
    <row r="44" spans="1:23">
      <c r="B44" s="6"/>
      <c r="L44" s="9"/>
    </row>
    <row r="45" spans="1:23">
      <c r="B45" s="6"/>
      <c r="L45" s="9"/>
    </row>
    <row r="46" spans="1:23">
      <c r="B46" s="6"/>
      <c r="L46" s="9"/>
    </row>
    <row r="47" spans="1:23">
      <c r="B47" s="6"/>
      <c r="C47" s="6"/>
      <c r="D47" s="6"/>
      <c r="E47" s="6"/>
      <c r="F47" s="6"/>
      <c r="G47" s="8"/>
      <c r="H47" s="6"/>
      <c r="I47" s="6"/>
      <c r="L47" s="9"/>
    </row>
    <row r="49" spans="2:28">
      <c r="B49" s="6"/>
      <c r="C49" s="6"/>
      <c r="D49" s="6"/>
      <c r="E49" s="6"/>
      <c r="F49" s="6"/>
      <c r="G49" s="8"/>
      <c r="H49" s="6"/>
      <c r="I49" s="50"/>
      <c r="J49" s="50"/>
      <c r="K49" s="50"/>
      <c r="L49" s="50"/>
    </row>
    <row r="50" spans="2:28">
      <c r="C50" t="s">
        <v>29</v>
      </c>
    </row>
    <row r="51" spans="2:28">
      <c r="C51" s="10" t="s">
        <v>201</v>
      </c>
    </row>
    <row r="52" spans="2:28">
      <c r="C52" s="10" t="s">
        <v>202</v>
      </c>
    </row>
    <row r="53" spans="2:28">
      <c r="C53" s="10" t="s">
        <v>203</v>
      </c>
      <c r="I53" s="52" t="str">
        <f>"Republican River CBCU for Lovewell net evaporation and diversion to Courtland Canal below Lovewell"</f>
        <v>Republican River CBCU for Lovewell net evaporation and diversion to Courtland Canal below Lovewell</v>
      </c>
    </row>
    <row r="54" spans="2:28">
      <c r="C54" s="10" t="s">
        <v>204</v>
      </c>
    </row>
    <row r="55" spans="2:28">
      <c r="P55" s="10" t="str">
        <f>"Net evaporation charged to Republican River by original methods and by simplified annual inflow split"</f>
        <v>Net evaporation charged to Republican River by original methods and by simplified annual inflow split</v>
      </c>
    </row>
    <row r="57" spans="2:28">
      <c r="B57" t="s">
        <v>30</v>
      </c>
      <c r="D57" t="s">
        <v>33</v>
      </c>
      <c r="F57" t="s">
        <v>36</v>
      </c>
      <c r="AA57">
        <v>61</v>
      </c>
      <c r="AB57" s="10" t="s">
        <v>199</v>
      </c>
    </row>
    <row r="58" spans="2:28">
      <c r="B58" t="s">
        <v>38</v>
      </c>
      <c r="F58" t="s">
        <v>37</v>
      </c>
      <c r="AA58">
        <v>60</v>
      </c>
      <c r="AB58" s="10" t="s">
        <v>200</v>
      </c>
    </row>
    <row r="59" spans="2:28">
      <c r="C59" t="s">
        <v>31</v>
      </c>
      <c r="E59" t="s">
        <v>34</v>
      </c>
      <c r="AA59">
        <f>AA57/AA58</f>
        <v>1.0166666666666666</v>
      </c>
      <c r="AB59" s="10" t="s">
        <v>197</v>
      </c>
    </row>
    <row r="60" spans="2:28">
      <c r="C60" t="s">
        <v>32</v>
      </c>
      <c r="E60" t="s">
        <v>35</v>
      </c>
      <c r="AA60">
        <v>20</v>
      </c>
      <c r="AB60" s="10" t="s">
        <v>196</v>
      </c>
    </row>
    <row r="61" spans="2:28">
      <c r="AA61">
        <f>AA60/AA59</f>
        <v>19.672131147540984</v>
      </c>
      <c r="AB61" s="10" t="s">
        <v>198</v>
      </c>
    </row>
    <row r="63" spans="2:28">
      <c r="C63">
        <f>1.6/329</f>
        <v>4.8632218844984806E-3</v>
      </c>
    </row>
    <row r="66" spans="1:16">
      <c r="B66" s="10" t="s">
        <v>145</v>
      </c>
      <c r="D66" s="10" t="s">
        <v>144</v>
      </c>
    </row>
    <row r="69" spans="1:16">
      <c r="B69" s="10" t="s">
        <v>146</v>
      </c>
    </row>
    <row r="70" spans="1:16" ht="24.75" customHeight="1">
      <c r="A70" s="76" t="s">
        <v>155</v>
      </c>
      <c r="B70" s="111" t="s">
        <v>194</v>
      </c>
      <c r="C70" s="112"/>
      <c r="D70" s="77" t="s">
        <v>116</v>
      </c>
      <c r="E70" s="115" t="s">
        <v>205</v>
      </c>
      <c r="F70" s="115"/>
      <c r="G70" s="75"/>
      <c r="H70" s="75"/>
    </row>
    <row r="71" spans="1:16">
      <c r="A71" s="59"/>
      <c r="B71" s="53" t="s">
        <v>143</v>
      </c>
      <c r="C71" s="53" t="s">
        <v>4</v>
      </c>
      <c r="E71" s="68" t="s">
        <v>143</v>
      </c>
      <c r="F71" s="68" t="s">
        <v>4</v>
      </c>
      <c r="G71" s="71"/>
      <c r="H71" s="71"/>
    </row>
    <row r="72" spans="1:16">
      <c r="A72" s="58" t="s">
        <v>195</v>
      </c>
      <c r="B72" s="60">
        <f>C41</f>
        <v>26744.657969047621</v>
      </c>
      <c r="C72" s="60">
        <f>D41</f>
        <v>16587.949940968123</v>
      </c>
      <c r="D72" s="54">
        <v>1587.1407569573662</v>
      </c>
      <c r="E72" s="54">
        <v>26360.167832526266</v>
      </c>
      <c r="F72" s="54">
        <v>10960.221056362627</v>
      </c>
      <c r="G72" s="73"/>
      <c r="H72" s="73"/>
    </row>
    <row r="73" spans="1:16">
      <c r="A73" s="58" t="s">
        <v>154</v>
      </c>
      <c r="B73" s="55">
        <f>C41/($C41+$D41)</f>
        <v>0.61719474684250331</v>
      </c>
      <c r="C73" s="55">
        <f>D41/($C41+$D41)</f>
        <v>0.38280525315749675</v>
      </c>
      <c r="D73" s="59"/>
      <c r="E73" s="55">
        <v>0.70632082401408935</v>
      </c>
      <c r="F73" s="55">
        <v>0.2936791759859107</v>
      </c>
      <c r="G73" s="74"/>
      <c r="H73" s="74"/>
    </row>
    <row r="75" spans="1:16">
      <c r="A75" s="69"/>
      <c r="B75" s="70"/>
      <c r="C75" s="69"/>
      <c r="D75" s="69"/>
      <c r="E75" s="70"/>
      <c r="F75" s="69"/>
      <c r="G75" s="69"/>
      <c r="H75" s="69"/>
    </row>
    <row r="76" spans="1:16">
      <c r="A76" s="70"/>
      <c r="B76" s="113"/>
      <c r="C76" s="114"/>
      <c r="D76" s="70"/>
      <c r="E76" s="113"/>
      <c r="F76" s="114"/>
      <c r="G76" s="114"/>
      <c r="H76" s="114"/>
    </row>
    <row r="77" spans="1:16">
      <c r="A77" s="70"/>
      <c r="B77" s="71"/>
      <c r="C77" s="71"/>
      <c r="D77" s="70"/>
      <c r="E77" s="71"/>
      <c r="F77" s="71"/>
      <c r="G77" s="71"/>
      <c r="H77" s="71"/>
    </row>
    <row r="78" spans="1:16">
      <c r="A78" s="70"/>
      <c r="B78" s="72"/>
      <c r="C78" s="72"/>
      <c r="D78" s="73"/>
      <c r="E78" s="73"/>
      <c r="F78" s="73"/>
      <c r="G78" s="73"/>
      <c r="H78" s="73"/>
    </row>
    <row r="79" spans="1:16">
      <c r="A79" s="70"/>
      <c r="B79" s="74"/>
      <c r="C79" s="74"/>
      <c r="D79" s="69"/>
      <c r="E79" s="74"/>
      <c r="F79" s="74"/>
      <c r="G79" s="74"/>
      <c r="H79" s="74"/>
    </row>
    <row r="80" spans="1:16">
      <c r="H80">
        <v>1</v>
      </c>
      <c r="I80" s="10" t="s">
        <v>191</v>
      </c>
      <c r="P80" t="str">
        <f>"Republican River diversion to lower Bostwick district by original methods and simplified annual inflow split (A2/A1 = "&amp;ROUND(G5,2)&amp;")"</f>
        <v>Republican River diversion to lower Bostwick district by original methods and simplified annual inflow split (A2/A1 = 1)</v>
      </c>
    </row>
    <row r="81" spans="4:9">
      <c r="D81" s="59"/>
      <c r="E81" s="9"/>
      <c r="H81">
        <v>2</v>
      </c>
      <c r="I81" s="10" t="s">
        <v>142</v>
      </c>
    </row>
    <row r="82" spans="4:9">
      <c r="H82">
        <v>3</v>
      </c>
      <c r="I82" s="10" t="s">
        <v>190</v>
      </c>
    </row>
    <row r="83" spans="4:9">
      <c r="H83">
        <v>4</v>
      </c>
      <c r="I83" s="10" t="s">
        <v>193</v>
      </c>
    </row>
    <row r="84" spans="4:9">
      <c r="H84">
        <v>5</v>
      </c>
      <c r="I84" s="10" t="s">
        <v>192</v>
      </c>
    </row>
    <row r="85" spans="4:9">
      <c r="I85" s="10"/>
    </row>
  </sheetData>
  <mergeCells count="4">
    <mergeCell ref="B70:C70"/>
    <mergeCell ref="B76:C76"/>
    <mergeCell ref="E76:H76"/>
    <mergeCell ref="E70:F70"/>
  </mergeCells>
  <phoneticPr fontId="1" type="noConversion"/>
  <pageMargins left="0.75" right="0.75" top="1" bottom="1" header="0.5" footer="0.5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"/>
  <sheetViews>
    <sheetView topLeftCell="A46" workbookViewId="0">
      <selection activeCell="H72" sqref="H72"/>
    </sheetView>
  </sheetViews>
  <sheetFormatPr defaultRowHeight="13.2"/>
  <sheetData>
    <row r="1" spans="1:16">
      <c r="O1">
        <f>24*3600</f>
        <v>86400</v>
      </c>
      <c r="P1" s="10" t="s">
        <v>40</v>
      </c>
    </row>
    <row r="2" spans="1:16">
      <c r="O2">
        <f>5280^2/640</f>
        <v>43560</v>
      </c>
      <c r="P2" s="10" t="s">
        <v>150</v>
      </c>
    </row>
    <row r="3" spans="1:16">
      <c r="I3" t="s">
        <v>157</v>
      </c>
      <c r="O3">
        <f>O1/O2</f>
        <v>1.9834710743801653</v>
      </c>
      <c r="P3" s="10" t="s">
        <v>44</v>
      </c>
    </row>
    <row r="4" spans="1:16">
      <c r="H4" t="s">
        <v>44</v>
      </c>
      <c r="I4" t="s">
        <v>156</v>
      </c>
      <c r="O4" s="38" t="s">
        <v>153</v>
      </c>
      <c r="P4" s="57" t="s">
        <v>162</v>
      </c>
    </row>
    <row r="5" spans="1:16">
      <c r="A5" s="14" t="s">
        <v>63</v>
      </c>
      <c r="B5" t="s">
        <v>64</v>
      </c>
      <c r="C5" t="s">
        <v>65</v>
      </c>
      <c r="D5" t="s">
        <v>66</v>
      </c>
      <c r="E5" t="s">
        <v>67</v>
      </c>
      <c r="F5" t="s">
        <v>68</v>
      </c>
      <c r="H5">
        <v>1.9834710743801653</v>
      </c>
      <c r="I5" t="s">
        <v>20</v>
      </c>
      <c r="K5" s="14" t="s">
        <v>69</v>
      </c>
      <c r="P5" s="10" t="s">
        <v>163</v>
      </c>
    </row>
    <row r="6" spans="1:16">
      <c r="A6" s="14" t="s">
        <v>70</v>
      </c>
      <c r="B6" t="s">
        <v>71</v>
      </c>
      <c r="C6" t="s">
        <v>70</v>
      </c>
      <c r="D6" t="s">
        <v>72</v>
      </c>
      <c r="E6" t="s">
        <v>73</v>
      </c>
      <c r="F6" t="s">
        <v>74</v>
      </c>
      <c r="G6" t="s">
        <v>75</v>
      </c>
      <c r="H6" t="s">
        <v>76</v>
      </c>
      <c r="I6" t="s">
        <v>76</v>
      </c>
      <c r="J6" t="s">
        <v>158</v>
      </c>
      <c r="K6" s="14" t="s">
        <v>69</v>
      </c>
    </row>
    <row r="7" spans="1:16">
      <c r="A7" s="14" t="s">
        <v>25</v>
      </c>
      <c r="B7">
        <v>6853800</v>
      </c>
      <c r="C7">
        <v>60</v>
      </c>
      <c r="D7">
        <v>54716</v>
      </c>
      <c r="E7">
        <v>1958</v>
      </c>
      <c r="F7">
        <v>14.9</v>
      </c>
      <c r="G7">
        <f>365+IF(MOD(E7,4)=0,1,0)</f>
        <v>365</v>
      </c>
      <c r="H7" s="15">
        <f>F7*G7*$H$5</f>
        <v>10787.10743801653</v>
      </c>
      <c r="I7" s="15">
        <f>WRC_BurrOak_monthly!N7</f>
        <v>10778.652892561984</v>
      </c>
      <c r="J7" s="15">
        <f>I7-H7</f>
        <v>-8.4545454545459506</v>
      </c>
      <c r="K7" s="14" t="s">
        <v>77</v>
      </c>
    </row>
    <row r="8" spans="1:16">
      <c r="A8" s="14" t="s">
        <v>25</v>
      </c>
      <c r="B8">
        <v>6853800</v>
      </c>
      <c r="C8">
        <v>60</v>
      </c>
      <c r="D8">
        <v>54716</v>
      </c>
      <c r="E8">
        <v>1959</v>
      </c>
      <c r="F8">
        <v>19.600000000000001</v>
      </c>
      <c r="G8">
        <f t="shared" ref="G8:G66" si="0">365+IF(MOD(E8,4)=0,1,0)</f>
        <v>365</v>
      </c>
      <c r="H8" s="15">
        <f t="shared" ref="H8:H66" si="1">F8*G8*$H$5</f>
        <v>14189.752066115705</v>
      </c>
      <c r="I8" s="15">
        <f>WRC_BurrOak_monthly!N8</f>
        <v>14221.441983471077</v>
      </c>
      <c r="J8" s="15">
        <f t="shared" ref="J8:J66" si="2">I8-H8</f>
        <v>31.689917355372017</v>
      </c>
      <c r="K8" s="14" t="s">
        <v>159</v>
      </c>
    </row>
    <row r="9" spans="1:16">
      <c r="A9" s="14" t="s">
        <v>25</v>
      </c>
      <c r="B9">
        <v>6853800</v>
      </c>
      <c r="C9">
        <v>60</v>
      </c>
      <c r="D9">
        <v>54716</v>
      </c>
      <c r="E9">
        <v>1960</v>
      </c>
      <c r="F9">
        <v>40</v>
      </c>
      <c r="G9">
        <f t="shared" si="0"/>
        <v>366</v>
      </c>
      <c r="H9" s="15">
        <f t="shared" si="1"/>
        <v>29038.016528925622</v>
      </c>
      <c r="I9" s="15">
        <f>WRC_BurrOak_monthly!N9</f>
        <v>29050.36363636364</v>
      </c>
      <c r="J9" s="15">
        <f t="shared" si="2"/>
        <v>12.347107438017701</v>
      </c>
      <c r="K9" s="14" t="s">
        <v>69</v>
      </c>
    </row>
    <row r="10" spans="1:16">
      <c r="A10" s="14" t="s">
        <v>25</v>
      </c>
      <c r="B10">
        <v>6853800</v>
      </c>
      <c r="C10">
        <v>60</v>
      </c>
      <c r="D10">
        <v>54716</v>
      </c>
      <c r="E10">
        <v>1961</v>
      </c>
      <c r="F10">
        <v>43.8</v>
      </c>
      <c r="G10">
        <f t="shared" si="0"/>
        <v>365</v>
      </c>
      <c r="H10" s="15">
        <f t="shared" si="1"/>
        <v>31709.7520661157</v>
      </c>
      <c r="I10" s="15">
        <f>WRC_BurrOak_monthly!N10</f>
        <v>31659.530578512393</v>
      </c>
      <c r="J10" s="15">
        <f t="shared" si="2"/>
        <v>-50.221487603306741</v>
      </c>
      <c r="K10" s="14" t="s">
        <v>78</v>
      </c>
    </row>
    <row r="11" spans="1:16">
      <c r="A11" s="14" t="s">
        <v>25</v>
      </c>
      <c r="B11">
        <v>6853800</v>
      </c>
      <c r="C11">
        <v>60</v>
      </c>
      <c r="D11">
        <v>54716</v>
      </c>
      <c r="E11">
        <v>1962</v>
      </c>
      <c r="F11">
        <v>48.2</v>
      </c>
      <c r="G11">
        <f t="shared" si="0"/>
        <v>365</v>
      </c>
      <c r="H11" s="15">
        <f t="shared" si="1"/>
        <v>34895.206611570247</v>
      </c>
      <c r="I11" s="15">
        <f>WRC_BurrOak_monthly!N11</f>
        <v>34893.252892561992</v>
      </c>
      <c r="J11" s="15">
        <f t="shared" si="2"/>
        <v>-1.9537190082555753</v>
      </c>
      <c r="K11" s="14" t="s">
        <v>69</v>
      </c>
    </row>
    <row r="12" spans="1:16">
      <c r="A12" s="14" t="s">
        <v>25</v>
      </c>
      <c r="B12">
        <v>6853800</v>
      </c>
      <c r="C12">
        <v>60</v>
      </c>
      <c r="D12">
        <v>54716</v>
      </c>
      <c r="E12">
        <v>1963</v>
      </c>
      <c r="F12">
        <v>27.6</v>
      </c>
      <c r="G12">
        <f t="shared" si="0"/>
        <v>365</v>
      </c>
      <c r="H12" s="15">
        <f t="shared" si="1"/>
        <v>19981.487603305784</v>
      </c>
      <c r="I12" s="15">
        <f>WRC_BurrOak_monthly!N12</f>
        <v>20006.404958677685</v>
      </c>
      <c r="J12" s="15">
        <f t="shared" si="2"/>
        <v>24.917355371901067</v>
      </c>
      <c r="K12" s="14" t="s">
        <v>79</v>
      </c>
    </row>
    <row r="13" spans="1:16">
      <c r="A13" s="14" t="s">
        <v>25</v>
      </c>
      <c r="B13">
        <v>6853800</v>
      </c>
      <c r="C13">
        <v>60</v>
      </c>
      <c r="D13">
        <v>54716</v>
      </c>
      <c r="E13">
        <v>1964</v>
      </c>
      <c r="F13">
        <v>7.66</v>
      </c>
      <c r="G13">
        <f t="shared" si="0"/>
        <v>366</v>
      </c>
      <c r="H13" s="15">
        <f t="shared" si="1"/>
        <v>5560.7801652892558</v>
      </c>
      <c r="I13" s="15">
        <f>WRC_BurrOak_monthly!N13</f>
        <v>5552.5041322314046</v>
      </c>
      <c r="J13" s="15">
        <f t="shared" si="2"/>
        <v>-8.2760330578512367</v>
      </c>
      <c r="K13" s="14" t="s">
        <v>80</v>
      </c>
    </row>
    <row r="14" spans="1:16">
      <c r="A14" s="14" t="s">
        <v>25</v>
      </c>
      <c r="B14">
        <v>6853800</v>
      </c>
      <c r="C14">
        <v>60</v>
      </c>
      <c r="D14">
        <v>54716</v>
      </c>
      <c r="E14">
        <v>1965</v>
      </c>
      <c r="F14">
        <v>53.3</v>
      </c>
      <c r="G14">
        <f t="shared" si="0"/>
        <v>365</v>
      </c>
      <c r="H14" s="15">
        <f t="shared" si="1"/>
        <v>38587.438016528926</v>
      </c>
      <c r="I14" s="15">
        <f>WRC_BurrOak_monthly!N14</f>
        <v>38657.157024793392</v>
      </c>
      <c r="J14" s="15">
        <f t="shared" si="2"/>
        <v>69.719008264466538</v>
      </c>
      <c r="K14" s="14" t="s">
        <v>81</v>
      </c>
    </row>
    <row r="15" spans="1:16">
      <c r="A15" s="14" t="s">
        <v>25</v>
      </c>
      <c r="B15">
        <v>6853800</v>
      </c>
      <c r="C15">
        <v>60</v>
      </c>
      <c r="D15">
        <v>54716</v>
      </c>
      <c r="E15">
        <v>1966</v>
      </c>
      <c r="F15">
        <v>5.75</v>
      </c>
      <c r="G15">
        <f t="shared" si="0"/>
        <v>365</v>
      </c>
      <c r="H15" s="15">
        <f t="shared" si="1"/>
        <v>4162.8099173553719</v>
      </c>
      <c r="I15" s="15">
        <f>WRC_BurrOak_monthly!N15</f>
        <v>4175.1768595041331</v>
      </c>
      <c r="J15" s="15">
        <f t="shared" si="2"/>
        <v>12.366942148761154</v>
      </c>
      <c r="K15" s="14" t="s">
        <v>69</v>
      </c>
    </row>
    <row r="16" spans="1:16">
      <c r="A16" s="14" t="s">
        <v>25</v>
      </c>
      <c r="B16">
        <v>6853800</v>
      </c>
      <c r="C16">
        <v>60</v>
      </c>
      <c r="D16">
        <v>54716</v>
      </c>
      <c r="E16">
        <v>1967</v>
      </c>
      <c r="F16">
        <v>16.3</v>
      </c>
      <c r="G16">
        <f t="shared" si="0"/>
        <v>365</v>
      </c>
      <c r="H16" s="15">
        <f t="shared" si="1"/>
        <v>11800.661157024793</v>
      </c>
      <c r="I16" s="15">
        <f>WRC_BurrOak_monthly!N16</f>
        <v>11765.390082644626</v>
      </c>
      <c r="J16" s="15">
        <f t="shared" si="2"/>
        <v>-35.271074380167192</v>
      </c>
      <c r="K16" s="14" t="s">
        <v>160</v>
      </c>
    </row>
    <row r="17" spans="1:11">
      <c r="A17" s="14" t="s">
        <v>25</v>
      </c>
      <c r="B17">
        <v>6853800</v>
      </c>
      <c r="C17">
        <v>60</v>
      </c>
      <c r="D17">
        <v>54716</v>
      </c>
      <c r="E17">
        <v>1968</v>
      </c>
      <c r="F17">
        <v>6.61</v>
      </c>
      <c r="G17">
        <f t="shared" si="0"/>
        <v>366</v>
      </c>
      <c r="H17" s="15">
        <f t="shared" si="1"/>
        <v>4798.532231404959</v>
      </c>
      <c r="I17" s="15">
        <f>WRC_BurrOak_monthly!N17</f>
        <v>4799.8214876033062</v>
      </c>
      <c r="J17" s="15">
        <f t="shared" si="2"/>
        <v>1.2892561983471751</v>
      </c>
      <c r="K17" s="14" t="s">
        <v>69</v>
      </c>
    </row>
    <row r="18" spans="1:11">
      <c r="A18" s="14" t="s">
        <v>25</v>
      </c>
      <c r="B18">
        <v>6853800</v>
      </c>
      <c r="C18">
        <v>60</v>
      </c>
      <c r="D18">
        <v>54716</v>
      </c>
      <c r="E18">
        <v>1969</v>
      </c>
      <c r="F18">
        <v>24.4</v>
      </c>
      <c r="G18">
        <f t="shared" si="0"/>
        <v>365</v>
      </c>
      <c r="H18" s="15">
        <f t="shared" si="1"/>
        <v>17664.793388429753</v>
      </c>
      <c r="I18" s="15">
        <f>WRC_BurrOak_monthly!N18</f>
        <v>17683.051239669421</v>
      </c>
      <c r="J18" s="15">
        <f t="shared" si="2"/>
        <v>18.257851239668526</v>
      </c>
      <c r="K18" s="14" t="s">
        <v>82</v>
      </c>
    </row>
    <row r="19" spans="1:11">
      <c r="A19" s="14" t="s">
        <v>25</v>
      </c>
      <c r="B19">
        <v>6853800</v>
      </c>
      <c r="C19">
        <v>60</v>
      </c>
      <c r="D19">
        <v>54716</v>
      </c>
      <c r="E19">
        <v>1970</v>
      </c>
      <c r="F19">
        <v>4.97</v>
      </c>
      <c r="G19">
        <f t="shared" si="0"/>
        <v>365</v>
      </c>
      <c r="H19" s="15">
        <f t="shared" si="1"/>
        <v>3598.1157024793388</v>
      </c>
      <c r="I19" s="15">
        <f>WRC_BurrOak_monthly!N19</f>
        <v>3598.605619834711</v>
      </c>
      <c r="J19" s="15">
        <f t="shared" si="2"/>
        <v>0.48991735537219938</v>
      </c>
      <c r="K19" s="14" t="s">
        <v>69</v>
      </c>
    </row>
    <row r="20" spans="1:11">
      <c r="A20" s="14" t="s">
        <v>25</v>
      </c>
      <c r="B20">
        <v>6853800</v>
      </c>
      <c r="C20">
        <v>60</v>
      </c>
      <c r="D20">
        <v>54716</v>
      </c>
      <c r="E20">
        <v>1971</v>
      </c>
      <c r="F20">
        <v>10.7</v>
      </c>
      <c r="G20">
        <f t="shared" si="0"/>
        <v>365</v>
      </c>
      <c r="H20" s="15">
        <f t="shared" si="1"/>
        <v>7746.446280991735</v>
      </c>
      <c r="I20" s="15">
        <f>WRC_BurrOak_monthly!N20</f>
        <v>7757.9008264462809</v>
      </c>
      <c r="J20" s="15">
        <f t="shared" si="2"/>
        <v>11.454545454545951</v>
      </c>
      <c r="K20" s="14" t="s">
        <v>69</v>
      </c>
    </row>
    <row r="21" spans="1:11">
      <c r="A21" s="14" t="s">
        <v>25</v>
      </c>
      <c r="B21">
        <v>6853800</v>
      </c>
      <c r="C21">
        <v>60</v>
      </c>
      <c r="D21">
        <v>54716</v>
      </c>
      <c r="E21">
        <v>1972</v>
      </c>
      <c r="F21">
        <v>10.9</v>
      </c>
      <c r="G21">
        <f t="shared" si="0"/>
        <v>366</v>
      </c>
      <c r="H21" s="15">
        <f t="shared" si="1"/>
        <v>7912.8595041322315</v>
      </c>
      <c r="I21" s="15">
        <f>WRC_BurrOak_monthly!N21</f>
        <v>7943.9107438016517</v>
      </c>
      <c r="J21" s="15">
        <f t="shared" si="2"/>
        <v>31.051239669420283</v>
      </c>
      <c r="K21" s="14" t="s">
        <v>83</v>
      </c>
    </row>
    <row r="22" spans="1:11">
      <c r="A22" s="14" t="s">
        <v>25</v>
      </c>
      <c r="B22">
        <v>6853800</v>
      </c>
      <c r="C22">
        <v>60</v>
      </c>
      <c r="D22">
        <v>54716</v>
      </c>
      <c r="E22">
        <v>1973</v>
      </c>
      <c r="F22">
        <v>99.6</v>
      </c>
      <c r="G22">
        <f t="shared" si="0"/>
        <v>365</v>
      </c>
      <c r="H22" s="15">
        <f t="shared" si="1"/>
        <v>72107.107438016537</v>
      </c>
      <c r="I22" s="15">
        <f>WRC_BurrOak_monthly!N22</f>
        <v>72124.165289256212</v>
      </c>
      <c r="J22" s="15">
        <f t="shared" si="2"/>
        <v>17.057851239675074</v>
      </c>
      <c r="K22" s="14" t="s">
        <v>84</v>
      </c>
    </row>
    <row r="23" spans="1:11">
      <c r="A23" s="14" t="s">
        <v>25</v>
      </c>
      <c r="B23">
        <v>6853800</v>
      </c>
      <c r="C23">
        <v>60</v>
      </c>
      <c r="D23">
        <v>54716</v>
      </c>
      <c r="E23">
        <v>1974</v>
      </c>
      <c r="F23">
        <v>19.5</v>
      </c>
      <c r="G23">
        <f t="shared" si="0"/>
        <v>365</v>
      </c>
      <c r="H23" s="15">
        <f t="shared" si="1"/>
        <v>14117.355371900827</v>
      </c>
      <c r="I23" s="15">
        <f>WRC_BurrOak_monthly!N23</f>
        <v>14124.297520661157</v>
      </c>
      <c r="J23" s="15">
        <f t="shared" si="2"/>
        <v>6.9421487603303831</v>
      </c>
      <c r="K23" s="14" t="s">
        <v>85</v>
      </c>
    </row>
    <row r="24" spans="1:11">
      <c r="A24" s="14" t="s">
        <v>25</v>
      </c>
      <c r="B24">
        <v>6853800</v>
      </c>
      <c r="C24">
        <v>60</v>
      </c>
      <c r="D24">
        <v>54716</v>
      </c>
      <c r="E24">
        <v>1975</v>
      </c>
      <c r="F24">
        <v>35.1</v>
      </c>
      <c r="G24">
        <f t="shared" si="0"/>
        <v>365</v>
      </c>
      <c r="H24" s="15">
        <f t="shared" si="1"/>
        <v>25411.239669421488</v>
      </c>
      <c r="I24" s="15">
        <f>WRC_BurrOak_monthly!N24</f>
        <v>25421.047933884296</v>
      </c>
      <c r="J24" s="15">
        <f t="shared" si="2"/>
        <v>9.8082644628084381</v>
      </c>
      <c r="K24" s="14" t="s">
        <v>86</v>
      </c>
    </row>
    <row r="25" spans="1:11">
      <c r="A25" s="14" t="s">
        <v>25</v>
      </c>
      <c r="B25">
        <v>6853800</v>
      </c>
      <c r="C25">
        <v>60</v>
      </c>
      <c r="D25">
        <v>54716</v>
      </c>
      <c r="E25">
        <v>1976</v>
      </c>
      <c r="F25">
        <v>8.83</v>
      </c>
      <c r="G25">
        <f t="shared" si="0"/>
        <v>366</v>
      </c>
      <c r="H25" s="15">
        <f t="shared" si="1"/>
        <v>6410.1421487603311</v>
      </c>
      <c r="I25" s="15">
        <f>WRC_BurrOak_monthly!N25</f>
        <v>6395.4644628099177</v>
      </c>
      <c r="J25" s="15">
        <f t="shared" si="2"/>
        <v>-14.677685950413434</v>
      </c>
      <c r="K25" s="14" t="s">
        <v>161</v>
      </c>
    </row>
    <row r="26" spans="1:11">
      <c r="A26" s="14" t="s">
        <v>25</v>
      </c>
      <c r="B26">
        <v>6853800</v>
      </c>
      <c r="C26">
        <v>60</v>
      </c>
      <c r="D26">
        <v>54716</v>
      </c>
      <c r="E26">
        <v>1977</v>
      </c>
      <c r="F26">
        <v>5.41</v>
      </c>
      <c r="G26">
        <f t="shared" si="0"/>
        <v>365</v>
      </c>
      <c r="H26" s="15">
        <f t="shared" si="1"/>
        <v>3916.6611570247937</v>
      </c>
      <c r="I26" s="15">
        <f>WRC_BurrOak_monthly!N26</f>
        <v>3914.2115702479341</v>
      </c>
      <c r="J26" s="15">
        <f t="shared" si="2"/>
        <v>-2.4495867768596327</v>
      </c>
      <c r="K26" s="14" t="s">
        <v>87</v>
      </c>
    </row>
    <row r="27" spans="1:11">
      <c r="A27" s="14" t="s">
        <v>25</v>
      </c>
      <c r="B27">
        <v>6853800</v>
      </c>
      <c r="C27">
        <v>60</v>
      </c>
      <c r="D27">
        <v>54716</v>
      </c>
      <c r="E27">
        <v>1978</v>
      </c>
      <c r="F27">
        <v>22.7</v>
      </c>
      <c r="G27">
        <f t="shared" si="0"/>
        <v>365</v>
      </c>
      <c r="H27" s="15">
        <f t="shared" si="1"/>
        <v>16434.049586776859</v>
      </c>
      <c r="I27" s="15">
        <f>WRC_BurrOak_monthly!N27</f>
        <v>16425.763636363637</v>
      </c>
      <c r="J27" s="15">
        <f>I27-H27</f>
        <v>-8.2859504132211441</v>
      </c>
      <c r="K27" s="14" t="s">
        <v>88</v>
      </c>
    </row>
    <row r="28" spans="1:11">
      <c r="A28" s="14" t="s">
        <v>25</v>
      </c>
      <c r="B28">
        <v>6853800</v>
      </c>
      <c r="C28">
        <v>60</v>
      </c>
      <c r="D28">
        <v>54716</v>
      </c>
      <c r="E28">
        <v>1979</v>
      </c>
      <c r="F28">
        <v>26.4</v>
      </c>
      <c r="G28">
        <f t="shared" si="0"/>
        <v>365</v>
      </c>
      <c r="H28" s="15">
        <f t="shared" si="1"/>
        <v>19112.727272727272</v>
      </c>
      <c r="I28" s="15">
        <f>WRC_BurrOak_monthly!N28</f>
        <v>19149.074380165286</v>
      </c>
      <c r="J28" s="15">
        <f t="shared" si="2"/>
        <v>36.347107438014064</v>
      </c>
      <c r="K28" s="14" t="s">
        <v>89</v>
      </c>
    </row>
    <row r="29" spans="1:11">
      <c r="A29" s="14" t="s">
        <v>25</v>
      </c>
      <c r="B29">
        <v>6853800</v>
      </c>
      <c r="C29">
        <v>60</v>
      </c>
      <c r="D29">
        <v>54716</v>
      </c>
      <c r="E29">
        <v>1980</v>
      </c>
      <c r="F29">
        <v>14.6</v>
      </c>
      <c r="G29">
        <f t="shared" si="0"/>
        <v>366</v>
      </c>
      <c r="H29" s="15">
        <f t="shared" si="1"/>
        <v>10598.87603305785</v>
      </c>
      <c r="I29" s="15">
        <f>WRC_BurrOak_monthly!N29</f>
        <v>10592.885950413223</v>
      </c>
      <c r="J29" s="15">
        <f t="shared" si="2"/>
        <v>-5.9900826446264546</v>
      </c>
      <c r="K29" s="14" t="s">
        <v>69</v>
      </c>
    </row>
    <row r="30" spans="1:11">
      <c r="A30" s="14" t="s">
        <v>25</v>
      </c>
      <c r="B30">
        <v>6853800</v>
      </c>
      <c r="C30">
        <v>60</v>
      </c>
      <c r="D30">
        <v>54716</v>
      </c>
      <c r="E30">
        <v>1981</v>
      </c>
      <c r="F30">
        <v>19.3</v>
      </c>
      <c r="G30">
        <f t="shared" si="0"/>
        <v>365</v>
      </c>
      <c r="H30" s="15">
        <f t="shared" si="1"/>
        <v>13972.561983471074</v>
      </c>
      <c r="I30" s="15">
        <f>WRC_BurrOak_monthly!N30</f>
        <v>13987.328925619837</v>
      </c>
      <c r="J30" s="15">
        <f t="shared" si="2"/>
        <v>14.76694214876261</v>
      </c>
      <c r="K30" s="14" t="s">
        <v>69</v>
      </c>
    </row>
    <row r="31" spans="1:11">
      <c r="A31" s="14" t="s">
        <v>25</v>
      </c>
      <c r="B31">
        <v>6853800</v>
      </c>
      <c r="C31">
        <v>60</v>
      </c>
      <c r="D31">
        <v>54716</v>
      </c>
      <c r="E31">
        <v>1982</v>
      </c>
      <c r="F31">
        <v>24.8</v>
      </c>
      <c r="G31">
        <f t="shared" si="0"/>
        <v>365</v>
      </c>
      <c r="H31" s="15">
        <f t="shared" si="1"/>
        <v>17954.380165289258</v>
      </c>
      <c r="I31" s="15">
        <f>WRC_BurrOak_monthly!N31</f>
        <v>17921.31570247934</v>
      </c>
      <c r="J31" s="15">
        <f t="shared" si="2"/>
        <v>-33.064462809918041</v>
      </c>
      <c r="K31" s="14" t="s">
        <v>90</v>
      </c>
    </row>
    <row r="32" spans="1:11">
      <c r="A32" s="14" t="s">
        <v>25</v>
      </c>
      <c r="B32">
        <v>6853800</v>
      </c>
      <c r="C32">
        <v>60</v>
      </c>
      <c r="D32">
        <v>54716</v>
      </c>
      <c r="E32">
        <v>1983</v>
      </c>
      <c r="F32">
        <v>18.399999999999999</v>
      </c>
      <c r="G32">
        <f t="shared" si="0"/>
        <v>365</v>
      </c>
      <c r="H32" s="15">
        <f t="shared" si="1"/>
        <v>13320.991735537189</v>
      </c>
      <c r="I32" s="15">
        <f>WRC_BurrOak_monthly!N32</f>
        <v>13369.03140495868</v>
      </c>
      <c r="J32" s="15">
        <f t="shared" si="2"/>
        <v>48.039669421490544</v>
      </c>
      <c r="K32" s="14" t="s">
        <v>91</v>
      </c>
    </row>
    <row r="33" spans="1:11">
      <c r="A33" s="14" t="s">
        <v>25</v>
      </c>
      <c r="B33">
        <v>6853800</v>
      </c>
      <c r="C33">
        <v>60</v>
      </c>
      <c r="D33">
        <v>54716</v>
      </c>
      <c r="E33">
        <v>1984</v>
      </c>
      <c r="F33">
        <v>37.6</v>
      </c>
      <c r="G33">
        <f t="shared" si="0"/>
        <v>366</v>
      </c>
      <c r="H33" s="15">
        <f t="shared" si="1"/>
        <v>27295.735537190085</v>
      </c>
      <c r="I33" s="15">
        <f>WRC_BurrOak_monthly!N33</f>
        <v>27265.249586776859</v>
      </c>
      <c r="J33" s="15">
        <f t="shared" si="2"/>
        <v>-30.48595041322551</v>
      </c>
      <c r="K33" s="14" t="s">
        <v>92</v>
      </c>
    </row>
    <row r="34" spans="1:11">
      <c r="A34" s="14" t="s">
        <v>25</v>
      </c>
      <c r="B34">
        <v>6853800</v>
      </c>
      <c r="C34">
        <v>60</v>
      </c>
      <c r="D34">
        <v>54716</v>
      </c>
      <c r="E34">
        <v>1985</v>
      </c>
      <c r="F34">
        <v>42.8</v>
      </c>
      <c r="G34">
        <f t="shared" si="0"/>
        <v>365</v>
      </c>
      <c r="H34" s="15">
        <f t="shared" si="1"/>
        <v>30985.78512396694</v>
      </c>
      <c r="I34" s="15">
        <f>WRC_BurrOak_monthly!N34</f>
        <v>31023.619834710742</v>
      </c>
      <c r="J34" s="15">
        <f t="shared" si="2"/>
        <v>37.834710743802134</v>
      </c>
      <c r="K34" s="14" t="s">
        <v>93</v>
      </c>
    </row>
    <row r="35" spans="1:11">
      <c r="A35" s="14" t="s">
        <v>25</v>
      </c>
      <c r="B35">
        <v>6853800</v>
      </c>
      <c r="C35">
        <v>60</v>
      </c>
      <c r="D35">
        <v>54716</v>
      </c>
      <c r="E35">
        <v>1986</v>
      </c>
      <c r="F35">
        <v>29.2</v>
      </c>
      <c r="G35">
        <f t="shared" si="0"/>
        <v>365</v>
      </c>
      <c r="H35" s="15">
        <f t="shared" si="1"/>
        <v>21139.834710743802</v>
      </c>
      <c r="I35" s="15">
        <f>WRC_BurrOak_monthly!N35</f>
        <v>21147.352066115702</v>
      </c>
      <c r="J35" s="15">
        <f t="shared" si="2"/>
        <v>7.5173553718996118</v>
      </c>
      <c r="K35" s="14" t="s">
        <v>94</v>
      </c>
    </row>
    <row r="36" spans="1:11">
      <c r="A36" s="14" t="s">
        <v>25</v>
      </c>
      <c r="B36">
        <v>6853800</v>
      </c>
      <c r="C36">
        <v>60</v>
      </c>
      <c r="D36">
        <v>54716</v>
      </c>
      <c r="E36">
        <v>1987</v>
      </c>
      <c r="F36">
        <v>66.900000000000006</v>
      </c>
      <c r="G36">
        <f t="shared" si="0"/>
        <v>365</v>
      </c>
      <c r="H36" s="15">
        <f t="shared" si="1"/>
        <v>48433.388429752078</v>
      </c>
      <c r="I36" s="15">
        <f>WRC_BurrOak_monthly!N36</f>
        <v>48419.404958677689</v>
      </c>
      <c r="J36" s="15">
        <f t="shared" si="2"/>
        <v>-13.983471074388945</v>
      </c>
      <c r="K36" s="14" t="s">
        <v>95</v>
      </c>
    </row>
    <row r="37" spans="1:11">
      <c r="A37" s="14" t="s">
        <v>25</v>
      </c>
      <c r="B37">
        <v>6853800</v>
      </c>
      <c r="C37">
        <v>60</v>
      </c>
      <c r="D37">
        <v>54716</v>
      </c>
      <c r="E37">
        <v>1988</v>
      </c>
      <c r="F37">
        <v>26.2</v>
      </c>
      <c r="G37">
        <f t="shared" si="0"/>
        <v>366</v>
      </c>
      <c r="H37" s="15">
        <f t="shared" si="1"/>
        <v>19019.900826446279</v>
      </c>
      <c r="I37" s="15">
        <f>WRC_BurrOak_monthly!N37</f>
        <v>18954.515702479341</v>
      </c>
      <c r="J37" s="15">
        <f t="shared" si="2"/>
        <v>-65.385123966938409</v>
      </c>
      <c r="K37" s="14" t="s">
        <v>69</v>
      </c>
    </row>
    <row r="38" spans="1:11">
      <c r="A38" s="14" t="s">
        <v>25</v>
      </c>
      <c r="B38">
        <v>6853800</v>
      </c>
      <c r="C38">
        <v>60</v>
      </c>
      <c r="D38">
        <v>54716</v>
      </c>
      <c r="E38">
        <v>1989</v>
      </c>
      <c r="F38">
        <v>26.5</v>
      </c>
      <c r="G38">
        <f t="shared" si="0"/>
        <v>365</v>
      </c>
      <c r="H38" s="15">
        <f t="shared" si="1"/>
        <v>19185.123966942148</v>
      </c>
      <c r="I38" s="15">
        <f>WRC_BurrOak_monthly!N38</f>
        <v>19171.388429752064</v>
      </c>
      <c r="J38" s="15">
        <f t="shared" si="2"/>
        <v>-13.73553719008487</v>
      </c>
      <c r="K38" s="14" t="s">
        <v>69</v>
      </c>
    </row>
    <row r="39" spans="1:11">
      <c r="A39" s="14" t="s">
        <v>25</v>
      </c>
      <c r="B39">
        <v>6853800</v>
      </c>
      <c r="C39">
        <v>60</v>
      </c>
      <c r="D39">
        <v>54716</v>
      </c>
      <c r="E39">
        <v>1990</v>
      </c>
      <c r="F39">
        <v>18.7</v>
      </c>
      <c r="G39">
        <f t="shared" si="0"/>
        <v>365</v>
      </c>
      <c r="H39" s="15">
        <f t="shared" si="1"/>
        <v>13538.181818181818</v>
      </c>
      <c r="I39" s="15">
        <f>WRC_BurrOak_monthly!N39</f>
        <v>13568.781818181818</v>
      </c>
      <c r="J39" s="15">
        <f t="shared" si="2"/>
        <v>30.600000000000364</v>
      </c>
    </row>
    <row r="40" spans="1:11">
      <c r="A40" s="14" t="s">
        <v>25</v>
      </c>
      <c r="B40">
        <v>6853800</v>
      </c>
      <c r="C40">
        <v>60</v>
      </c>
      <c r="D40">
        <v>54716</v>
      </c>
      <c r="E40">
        <v>1991</v>
      </c>
      <c r="F40">
        <v>4.41</v>
      </c>
      <c r="G40">
        <f t="shared" si="0"/>
        <v>365</v>
      </c>
      <c r="H40" s="15">
        <f t="shared" si="1"/>
        <v>3192.6942148760331</v>
      </c>
      <c r="I40" s="15">
        <f>WRC_BurrOak_monthly!N40</f>
        <v>3199.3586776859506</v>
      </c>
      <c r="J40" s="15">
        <f t="shared" si="2"/>
        <v>6.6644628099174952</v>
      </c>
    </row>
    <row r="41" spans="1:11">
      <c r="A41" s="14" t="s">
        <v>25</v>
      </c>
      <c r="B41">
        <v>6853800</v>
      </c>
      <c r="C41">
        <v>60</v>
      </c>
      <c r="D41">
        <v>54716</v>
      </c>
      <c r="E41">
        <v>1992</v>
      </c>
      <c r="F41">
        <v>21</v>
      </c>
      <c r="G41">
        <f t="shared" si="0"/>
        <v>366</v>
      </c>
      <c r="H41" s="15">
        <f t="shared" si="1"/>
        <v>15244.958677685951</v>
      </c>
      <c r="I41" s="15">
        <f>WRC_BurrOak_monthly!N41</f>
        <v>15211.294214876034</v>
      </c>
      <c r="J41" s="15">
        <f t="shared" si="2"/>
        <v>-33.664462809916586</v>
      </c>
    </row>
    <row r="42" spans="1:11">
      <c r="A42" s="14" t="s">
        <v>25</v>
      </c>
      <c r="B42">
        <v>6853800</v>
      </c>
      <c r="C42">
        <v>60</v>
      </c>
      <c r="D42">
        <v>54716</v>
      </c>
      <c r="E42">
        <v>1993</v>
      </c>
      <c r="F42">
        <v>145.4</v>
      </c>
      <c r="G42">
        <f t="shared" si="0"/>
        <v>365</v>
      </c>
      <c r="H42" s="15">
        <f t="shared" si="1"/>
        <v>105264.79338842975</v>
      </c>
      <c r="I42" s="15">
        <f>WRC_BurrOak_monthly!N42</f>
        <v>105336.93223140495</v>
      </c>
      <c r="J42" s="15">
        <f t="shared" si="2"/>
        <v>72.138842975196894</v>
      </c>
    </row>
    <row r="43" spans="1:11">
      <c r="A43" s="14" t="s">
        <v>25</v>
      </c>
      <c r="B43">
        <v>6853800</v>
      </c>
      <c r="C43">
        <v>60</v>
      </c>
      <c r="D43">
        <v>54716</v>
      </c>
      <c r="E43">
        <v>1994</v>
      </c>
      <c r="F43">
        <v>25.3</v>
      </c>
      <c r="G43">
        <f t="shared" si="0"/>
        <v>365</v>
      </c>
      <c r="H43" s="15">
        <f t="shared" si="1"/>
        <v>18316.363636363636</v>
      </c>
      <c r="I43" s="15">
        <f>WRC_BurrOak_monthly!N43</f>
        <v>18338.885950413227</v>
      </c>
      <c r="J43" s="15">
        <f t="shared" si="2"/>
        <v>22.522314049590932</v>
      </c>
    </row>
    <row r="44" spans="1:11">
      <c r="A44" s="14" t="s">
        <v>25</v>
      </c>
      <c r="B44">
        <v>6853800</v>
      </c>
      <c r="C44">
        <v>60</v>
      </c>
      <c r="D44">
        <v>54716</v>
      </c>
      <c r="E44">
        <v>1995</v>
      </c>
      <c r="F44">
        <v>27.2</v>
      </c>
      <c r="G44">
        <f t="shared" si="0"/>
        <v>365</v>
      </c>
      <c r="H44" s="15">
        <f t="shared" si="1"/>
        <v>19691.900826446283</v>
      </c>
      <c r="I44" s="15">
        <f>WRC_BurrOak_monthly!N44</f>
        <v>19702.016528925622</v>
      </c>
      <c r="J44" s="15">
        <f t="shared" si="2"/>
        <v>10.115702479339234</v>
      </c>
    </row>
    <row r="45" spans="1:11">
      <c r="A45" s="14" t="s">
        <v>25</v>
      </c>
      <c r="B45">
        <v>6853800</v>
      </c>
      <c r="C45">
        <v>60</v>
      </c>
      <c r="D45">
        <v>54716</v>
      </c>
      <c r="E45">
        <v>1996</v>
      </c>
      <c r="F45">
        <v>24.9</v>
      </c>
      <c r="G45">
        <f t="shared" si="0"/>
        <v>366</v>
      </c>
      <c r="H45" s="15">
        <f t="shared" si="1"/>
        <v>18076.165289256198</v>
      </c>
      <c r="I45" s="15">
        <f>WRC_BurrOak_monthly!N45</f>
        <v>18071.414876033061</v>
      </c>
      <c r="J45" s="15">
        <f t="shared" si="2"/>
        <v>-4.7504132231370022</v>
      </c>
    </row>
    <row r="46" spans="1:11">
      <c r="A46" s="14" t="s">
        <v>25</v>
      </c>
      <c r="B46">
        <v>6853800</v>
      </c>
      <c r="C46">
        <v>60</v>
      </c>
      <c r="D46">
        <v>54716</v>
      </c>
      <c r="E46">
        <v>1997</v>
      </c>
      <c r="F46">
        <v>32.1</v>
      </c>
      <c r="G46">
        <f t="shared" si="0"/>
        <v>365</v>
      </c>
      <c r="H46" s="15">
        <f t="shared" si="1"/>
        <v>23239.338842975209</v>
      </c>
      <c r="I46" s="15">
        <f>WRC_BurrOak_monthly!N46</f>
        <v>23251.319008264458</v>
      </c>
      <c r="J46" s="15">
        <f t="shared" si="2"/>
        <v>11.980165289249271</v>
      </c>
    </row>
    <row r="47" spans="1:11">
      <c r="A47" s="14" t="s">
        <v>25</v>
      </c>
      <c r="B47">
        <v>6853800</v>
      </c>
      <c r="C47">
        <v>60</v>
      </c>
      <c r="D47">
        <v>54716</v>
      </c>
      <c r="E47">
        <v>1998</v>
      </c>
      <c r="F47">
        <v>46.7</v>
      </c>
      <c r="G47">
        <f t="shared" si="0"/>
        <v>365</v>
      </c>
      <c r="H47" s="15">
        <f t="shared" si="1"/>
        <v>33809.25619834711</v>
      </c>
      <c r="I47" s="15">
        <f>WRC_BurrOak_monthly!N47</f>
        <v>33757.586776859505</v>
      </c>
      <c r="J47" s="15">
        <f t="shared" si="2"/>
        <v>-51.669421487604268</v>
      </c>
    </row>
    <row r="48" spans="1:11">
      <c r="A48" s="14" t="s">
        <v>25</v>
      </c>
      <c r="B48">
        <v>6853800</v>
      </c>
      <c r="C48">
        <v>60</v>
      </c>
      <c r="D48">
        <v>54716</v>
      </c>
      <c r="E48">
        <v>1999</v>
      </c>
      <c r="F48">
        <v>21.4</v>
      </c>
      <c r="G48">
        <f t="shared" si="0"/>
        <v>365</v>
      </c>
      <c r="H48" s="15">
        <f t="shared" si="1"/>
        <v>15492.89256198347</v>
      </c>
      <c r="I48" s="15">
        <f>WRC_BurrOak_monthly!N48</f>
        <v>15484.17520661157</v>
      </c>
      <c r="J48" s="15">
        <f t="shared" si="2"/>
        <v>-8.7173553719003394</v>
      </c>
    </row>
    <row r="49" spans="1:10">
      <c r="A49" s="14" t="s">
        <v>25</v>
      </c>
      <c r="B49">
        <v>6853800</v>
      </c>
      <c r="C49">
        <v>60</v>
      </c>
      <c r="D49">
        <v>54716</v>
      </c>
      <c r="E49">
        <v>2000</v>
      </c>
      <c r="F49">
        <v>6.33</v>
      </c>
      <c r="G49">
        <f t="shared" si="0"/>
        <v>366</v>
      </c>
      <c r="H49" s="15">
        <f t="shared" si="1"/>
        <v>4595.2661157024795</v>
      </c>
      <c r="I49" s="15">
        <f>WRC_BurrOak_monthly!N49</f>
        <v>4580.9593388429757</v>
      </c>
      <c r="J49" s="15">
        <f>I49-H49</f>
        <v>-14.306776859503771</v>
      </c>
    </row>
    <row r="50" spans="1:10">
      <c r="A50" s="14" t="s">
        <v>25</v>
      </c>
      <c r="B50">
        <v>6853800</v>
      </c>
      <c r="C50">
        <v>60</v>
      </c>
      <c r="D50">
        <v>54716</v>
      </c>
      <c r="E50">
        <v>2001</v>
      </c>
      <c r="F50">
        <v>31.8</v>
      </c>
      <c r="G50">
        <f t="shared" si="0"/>
        <v>365</v>
      </c>
      <c r="H50" s="15">
        <f t="shared" si="1"/>
        <v>23022.14876033058</v>
      </c>
      <c r="I50" s="15">
        <f>WRC_BurrOak_monthly!N50</f>
        <v>23056.904132231411</v>
      </c>
      <c r="J50" s="15">
        <f t="shared" si="2"/>
        <v>34.75537190083196</v>
      </c>
    </row>
    <row r="51" spans="1:10">
      <c r="A51" s="14" t="s">
        <v>25</v>
      </c>
      <c r="B51">
        <v>6853800</v>
      </c>
      <c r="C51">
        <v>60</v>
      </c>
      <c r="D51">
        <v>54716</v>
      </c>
      <c r="E51">
        <v>2002</v>
      </c>
      <c r="F51">
        <v>6.6</v>
      </c>
      <c r="G51">
        <f t="shared" si="0"/>
        <v>365</v>
      </c>
      <c r="H51" s="15">
        <f t="shared" si="1"/>
        <v>4778.181818181818</v>
      </c>
      <c r="I51" s="15">
        <f>WRC_BurrOak_monthly!N51</f>
        <v>4789.5272727272732</v>
      </c>
      <c r="J51" s="15">
        <f t="shared" si="2"/>
        <v>11.345454545455141</v>
      </c>
    </row>
    <row r="52" spans="1:10">
      <c r="A52" s="14" t="s">
        <v>25</v>
      </c>
      <c r="B52">
        <v>6853800</v>
      </c>
      <c r="C52">
        <v>60</v>
      </c>
      <c r="D52">
        <v>54716</v>
      </c>
      <c r="E52">
        <v>2003</v>
      </c>
      <c r="F52">
        <v>2.37</v>
      </c>
      <c r="G52">
        <f t="shared" si="0"/>
        <v>365</v>
      </c>
      <c r="H52" s="15">
        <f t="shared" si="1"/>
        <v>1715.8016528925621</v>
      </c>
      <c r="I52" s="15">
        <f>WRC_BurrOak_monthly!N52</f>
        <v>1722.9798347107439</v>
      </c>
      <c r="J52" s="15">
        <f t="shared" si="2"/>
        <v>7.1781818181818835</v>
      </c>
    </row>
    <row r="53" spans="1:10">
      <c r="A53" s="14" t="s">
        <v>25</v>
      </c>
      <c r="B53">
        <v>6853800</v>
      </c>
      <c r="C53">
        <v>60</v>
      </c>
      <c r="D53">
        <v>54716</v>
      </c>
      <c r="E53">
        <v>2004</v>
      </c>
      <c r="F53">
        <v>2.81</v>
      </c>
      <c r="G53">
        <f t="shared" si="0"/>
        <v>366</v>
      </c>
      <c r="H53" s="15">
        <f t="shared" si="1"/>
        <v>2039.9206611570248</v>
      </c>
      <c r="I53" s="15">
        <f>WRC_BurrOak_monthly!N53</f>
        <v>2041.664628099174</v>
      </c>
      <c r="J53" s="15">
        <f t="shared" si="2"/>
        <v>1.7439669421491999</v>
      </c>
    </row>
    <row r="54" spans="1:10">
      <c r="A54" s="14" t="s">
        <v>25</v>
      </c>
      <c r="B54">
        <v>6853800</v>
      </c>
      <c r="C54">
        <v>60</v>
      </c>
      <c r="D54">
        <v>54716</v>
      </c>
      <c r="E54">
        <v>2005</v>
      </c>
      <c r="F54">
        <v>5.0599999999999996</v>
      </c>
      <c r="G54">
        <f t="shared" si="0"/>
        <v>365</v>
      </c>
      <c r="H54" s="15">
        <f t="shared" si="1"/>
        <v>3663.272727272727</v>
      </c>
      <c r="I54" s="15">
        <f>WRC_BurrOak_monthly!N54</f>
        <v>3662.9246280991738</v>
      </c>
      <c r="J54" s="15">
        <f t="shared" si="2"/>
        <v>-0.34809917355323705</v>
      </c>
    </row>
    <row r="55" spans="1:10">
      <c r="A55" s="14" t="s">
        <v>25</v>
      </c>
      <c r="B55">
        <v>6853800</v>
      </c>
      <c r="C55">
        <v>60</v>
      </c>
      <c r="D55">
        <v>54716</v>
      </c>
      <c r="E55">
        <v>2006</v>
      </c>
      <c r="F55">
        <v>2.5099999999999998</v>
      </c>
      <c r="G55">
        <f t="shared" si="0"/>
        <v>365</v>
      </c>
      <c r="H55" s="15">
        <f t="shared" si="1"/>
        <v>1817.1570247933885</v>
      </c>
      <c r="I55" s="15">
        <f>WRC_BurrOak_monthly!N55</f>
        <v>1816.1201652892562</v>
      </c>
      <c r="J55" s="15">
        <f t="shared" si="2"/>
        <v>-1.0368595041322806</v>
      </c>
    </row>
    <row r="56" spans="1:10">
      <c r="A56" s="14" t="s">
        <v>25</v>
      </c>
      <c r="B56">
        <v>6853800</v>
      </c>
      <c r="C56">
        <v>60</v>
      </c>
      <c r="D56">
        <v>54716</v>
      </c>
      <c r="E56">
        <v>2007</v>
      </c>
      <c r="F56">
        <v>10.4</v>
      </c>
      <c r="G56">
        <f t="shared" si="0"/>
        <v>365</v>
      </c>
      <c r="H56" s="15">
        <f t="shared" si="1"/>
        <v>7529.2561983471078</v>
      </c>
      <c r="I56" s="15">
        <f>WRC_BurrOak_monthly!N56</f>
        <v>7542.0783471074383</v>
      </c>
      <c r="J56" s="15">
        <f t="shared" si="2"/>
        <v>12.822148760330492</v>
      </c>
    </row>
    <row r="57" spans="1:10">
      <c r="A57" s="14" t="s">
        <v>25</v>
      </c>
      <c r="B57">
        <v>6853800</v>
      </c>
      <c r="C57">
        <v>60</v>
      </c>
      <c r="D57">
        <v>54716</v>
      </c>
      <c r="E57">
        <v>2008</v>
      </c>
      <c r="F57">
        <v>56.8</v>
      </c>
      <c r="G57">
        <f t="shared" si="0"/>
        <v>366</v>
      </c>
      <c r="H57" s="15">
        <f t="shared" si="1"/>
        <v>41233.983471074382</v>
      </c>
      <c r="I57" s="15">
        <f>WRC_BurrOak_monthly!N57</f>
        <v>41224.760330578509</v>
      </c>
      <c r="J57" s="15">
        <f t="shared" si="2"/>
        <v>-9.2231404958729399</v>
      </c>
    </row>
    <row r="58" spans="1:10">
      <c r="A58" s="14" t="s">
        <v>25</v>
      </c>
      <c r="B58">
        <v>6853800</v>
      </c>
      <c r="C58">
        <v>60</v>
      </c>
      <c r="D58">
        <v>54716</v>
      </c>
      <c r="E58">
        <v>2009</v>
      </c>
      <c r="F58">
        <v>15</v>
      </c>
      <c r="G58">
        <f t="shared" si="0"/>
        <v>365</v>
      </c>
      <c r="H58" s="15">
        <f t="shared" si="1"/>
        <v>10859.504132231405</v>
      </c>
      <c r="I58" s="15">
        <f>WRC_BurrOak_monthly!N58</f>
        <v>10896.892561983472</v>
      </c>
      <c r="J58" s="15">
        <f t="shared" si="2"/>
        <v>37.388429752067168</v>
      </c>
    </row>
    <row r="59" spans="1:10">
      <c r="A59" s="14" t="s">
        <v>25</v>
      </c>
      <c r="B59">
        <v>6853800</v>
      </c>
      <c r="C59">
        <v>60</v>
      </c>
      <c r="D59">
        <v>54716</v>
      </c>
      <c r="E59">
        <v>2010</v>
      </c>
      <c r="F59">
        <v>40</v>
      </c>
      <c r="G59">
        <f t="shared" si="0"/>
        <v>365</v>
      </c>
      <c r="H59" s="15">
        <f t="shared" si="1"/>
        <v>28958.677685950413</v>
      </c>
      <c r="I59" s="15">
        <f>WRC_BurrOak_monthly!N59</f>
        <v>28974.664462809917</v>
      </c>
      <c r="J59" s="15">
        <f t="shared" si="2"/>
        <v>15.986776859503152</v>
      </c>
    </row>
    <row r="60" spans="1:10">
      <c r="A60" s="14" t="s">
        <v>25</v>
      </c>
      <c r="B60">
        <v>6853800</v>
      </c>
      <c r="C60">
        <v>60</v>
      </c>
      <c r="D60">
        <v>54716</v>
      </c>
      <c r="E60">
        <v>2011</v>
      </c>
      <c r="F60">
        <v>77.2</v>
      </c>
      <c r="G60">
        <f t="shared" si="0"/>
        <v>365</v>
      </c>
      <c r="H60" s="15">
        <f t="shared" si="1"/>
        <v>55890.247933884297</v>
      </c>
      <c r="I60" s="15">
        <f>WRC_BurrOak_monthly!N60</f>
        <v>55929.500826446281</v>
      </c>
      <c r="J60" s="15">
        <f t="shared" si="2"/>
        <v>39.252892561984481</v>
      </c>
    </row>
    <row r="61" spans="1:10">
      <c r="A61" s="14" t="s">
        <v>25</v>
      </c>
      <c r="B61">
        <v>6853800</v>
      </c>
      <c r="C61">
        <v>60</v>
      </c>
      <c r="D61">
        <v>54716</v>
      </c>
      <c r="E61">
        <v>2012</v>
      </c>
      <c r="F61">
        <v>9.23</v>
      </c>
      <c r="G61">
        <f t="shared" si="0"/>
        <v>366</v>
      </c>
      <c r="H61" s="15">
        <f t="shared" si="1"/>
        <v>6700.5223140495873</v>
      </c>
      <c r="I61" s="15">
        <f>WRC_BurrOak_monthly!N61</f>
        <v>6678.8528925619839</v>
      </c>
      <c r="J61" s="15">
        <f t="shared" si="2"/>
        <v>-21.669421487603358</v>
      </c>
    </row>
    <row r="62" spans="1:10">
      <c r="A62" s="14" t="s">
        <v>25</v>
      </c>
      <c r="B62">
        <v>6853800</v>
      </c>
      <c r="C62">
        <v>60</v>
      </c>
      <c r="D62">
        <v>54716</v>
      </c>
      <c r="E62">
        <v>2013</v>
      </c>
      <c r="F62">
        <v>3.07</v>
      </c>
      <c r="G62">
        <f t="shared" si="0"/>
        <v>365</v>
      </c>
      <c r="H62" s="15">
        <f t="shared" si="1"/>
        <v>2222.5785123966944</v>
      </c>
      <c r="I62" s="15">
        <f>WRC_BurrOak_monthly!N62</f>
        <v>2224.0879338842974</v>
      </c>
      <c r="J62" s="15">
        <f t="shared" si="2"/>
        <v>1.5094214876030492</v>
      </c>
    </row>
    <row r="63" spans="1:10">
      <c r="A63" s="14" t="s">
        <v>25</v>
      </c>
      <c r="B63">
        <v>6853800</v>
      </c>
      <c r="C63">
        <v>60</v>
      </c>
      <c r="D63">
        <v>54716</v>
      </c>
      <c r="E63">
        <v>2014</v>
      </c>
      <c r="F63">
        <v>8.0299999999999994</v>
      </c>
      <c r="G63">
        <f t="shared" si="0"/>
        <v>365</v>
      </c>
      <c r="H63" s="15">
        <f t="shared" si="1"/>
        <v>5813.454545454545</v>
      </c>
      <c r="I63" s="15">
        <f>WRC_BurrOak_monthly!N63</f>
        <v>5813.1292561983473</v>
      </c>
      <c r="J63" s="15">
        <f t="shared" si="2"/>
        <v>-0.32528925619772053</v>
      </c>
    </row>
    <row r="64" spans="1:10">
      <c r="A64" s="14" t="s">
        <v>25</v>
      </c>
      <c r="B64">
        <v>6853800</v>
      </c>
      <c r="C64">
        <v>60</v>
      </c>
      <c r="D64">
        <v>54716</v>
      </c>
      <c r="E64">
        <v>2015</v>
      </c>
      <c r="F64">
        <v>20.9</v>
      </c>
      <c r="G64">
        <f t="shared" si="0"/>
        <v>365</v>
      </c>
      <c r="H64" s="15">
        <f t="shared" si="1"/>
        <v>15130.90909090909</v>
      </c>
      <c r="I64" s="15">
        <f>WRC_BurrOak_monthly!N64</f>
        <v>15093.862809917357</v>
      </c>
      <c r="J64" s="15">
        <f t="shared" si="2"/>
        <v>-37.046280991733511</v>
      </c>
    </row>
    <row r="65" spans="1:12">
      <c r="A65" s="14" t="s">
        <v>25</v>
      </c>
      <c r="B65">
        <v>6853800</v>
      </c>
      <c r="C65">
        <v>60</v>
      </c>
      <c r="D65">
        <v>54716</v>
      </c>
      <c r="E65">
        <v>2016</v>
      </c>
      <c r="F65">
        <v>14.2</v>
      </c>
      <c r="G65">
        <f t="shared" si="0"/>
        <v>366</v>
      </c>
      <c r="H65" s="15">
        <f t="shared" si="1"/>
        <v>10308.495867768595</v>
      </c>
      <c r="I65" s="15">
        <f>WRC_BurrOak_monthly!N65</f>
        <v>10291.120661157025</v>
      </c>
      <c r="J65" s="15">
        <f t="shared" si="2"/>
        <v>-17.37520661157032</v>
      </c>
    </row>
    <row r="66" spans="1:12">
      <c r="A66" s="14" t="s">
        <v>25</v>
      </c>
      <c r="B66">
        <v>6853800</v>
      </c>
      <c r="C66">
        <v>60</v>
      </c>
      <c r="D66">
        <v>54716</v>
      </c>
      <c r="E66">
        <v>2017</v>
      </c>
      <c r="F66">
        <v>25.6</v>
      </c>
      <c r="G66">
        <f t="shared" si="0"/>
        <v>365</v>
      </c>
      <c r="H66" s="15">
        <f t="shared" si="1"/>
        <v>18533.553719008265</v>
      </c>
      <c r="I66" s="15">
        <f>WRC_BurrOak_monthly!N66</f>
        <v>18480.406611570252</v>
      </c>
      <c r="J66" s="15">
        <f t="shared" si="2"/>
        <v>-53.147107438013336</v>
      </c>
    </row>
    <row r="67" spans="1:12">
      <c r="A67" s="14" t="s">
        <v>25</v>
      </c>
      <c r="B67">
        <v>6853800</v>
      </c>
      <c r="C67">
        <v>60</v>
      </c>
      <c r="D67">
        <v>54716</v>
      </c>
      <c r="E67">
        <v>2018</v>
      </c>
      <c r="F67">
        <v>28.4</v>
      </c>
      <c r="G67">
        <f t="shared" ref="G67:G68" si="3">365+IF(MOD(E67,4)=0,1,0)</f>
        <v>365</v>
      </c>
      <c r="H67" s="15">
        <f t="shared" ref="H67" si="4">F67*G67*$H$5</f>
        <v>20560.661157024795</v>
      </c>
      <c r="I67" s="15">
        <f>WRC_BurrOak_monthly!N67</f>
        <v>20500.720661157022</v>
      </c>
      <c r="J67" s="15">
        <f t="shared" ref="J67" si="5">I67-H67</f>
        <v>-59.940495867773279</v>
      </c>
    </row>
    <row r="68" spans="1:12">
      <c r="A68" t="s">
        <v>25</v>
      </c>
      <c r="B68">
        <v>6853800</v>
      </c>
      <c r="C68">
        <v>60</v>
      </c>
      <c r="D68">
        <v>54716</v>
      </c>
      <c r="E68">
        <v>2019</v>
      </c>
      <c r="F68">
        <v>74.599999999999994</v>
      </c>
      <c r="G68">
        <f t="shared" si="3"/>
        <v>365</v>
      </c>
      <c r="H68" s="15">
        <f>F68*G68*$H$5</f>
        <v>54007.933884297512</v>
      </c>
      <c r="I68" s="15">
        <f>WRC_BurrOak_monthly!N68</f>
        <v>54025.239669421477</v>
      </c>
      <c r="J68" s="15">
        <f>I68-H68</f>
        <v>17.305785123964597</v>
      </c>
      <c r="L68" t="s">
        <v>213</v>
      </c>
    </row>
    <row r="69" spans="1:12">
      <c r="A69" t="s">
        <v>25</v>
      </c>
      <c r="B69">
        <v>6853800</v>
      </c>
      <c r="C69">
        <v>60</v>
      </c>
      <c r="D69">
        <v>54716</v>
      </c>
      <c r="E69">
        <v>2020</v>
      </c>
      <c r="F69">
        <v>39.9</v>
      </c>
      <c r="G69">
        <f>365+IF(MOD(E69,4)=0,1,0)</f>
        <v>366</v>
      </c>
      <c r="H69" s="15">
        <f>F69*G69*$H$5</f>
        <v>28965.421487603307</v>
      </c>
      <c r="I69" s="15">
        <f>WRC_BurrOak_monthly!N69</f>
        <v>24605.097520661158</v>
      </c>
      <c r="J69" s="15">
        <f>I69-H69</f>
        <v>-4360.3239669421491</v>
      </c>
    </row>
    <row r="70" spans="1:12">
      <c r="A70" t="s">
        <v>25</v>
      </c>
      <c r="B70">
        <v>6853800</v>
      </c>
      <c r="C70">
        <v>60</v>
      </c>
      <c r="D70">
        <v>54716</v>
      </c>
      <c r="E70">
        <v>2021</v>
      </c>
      <c r="F70">
        <v>24.9</v>
      </c>
      <c r="G70">
        <v>365</v>
      </c>
      <c r="H70" s="15">
        <f>F70*G70*$H$5</f>
        <v>18026.776859504134</v>
      </c>
      <c r="I70" s="15">
        <f>WRC_BurrOak_monthly!N70</f>
        <v>17547.252892561988</v>
      </c>
      <c r="J70" s="15">
        <f>I70-H70</f>
        <v>-479.52396694214622</v>
      </c>
    </row>
    <row r="78" spans="1:12">
      <c r="A78" t="s">
        <v>25</v>
      </c>
      <c r="B78">
        <v>6853800</v>
      </c>
      <c r="C78">
        <v>60</v>
      </c>
      <c r="D78">
        <v>54716</v>
      </c>
      <c r="E78">
        <v>1999</v>
      </c>
      <c r="F78">
        <v>24.4</v>
      </c>
    </row>
    <row r="79" spans="1:12">
      <c r="A79" t="s">
        <v>25</v>
      </c>
      <c r="B79">
        <v>6853800</v>
      </c>
      <c r="C79">
        <v>60</v>
      </c>
      <c r="D79">
        <v>54716</v>
      </c>
      <c r="E79">
        <v>2000</v>
      </c>
      <c r="F79">
        <v>7.34</v>
      </c>
    </row>
    <row r="80" spans="1:12">
      <c r="A80" t="s">
        <v>25</v>
      </c>
      <c r="B80">
        <v>6853800</v>
      </c>
      <c r="C80">
        <v>60</v>
      </c>
      <c r="D80">
        <v>54716</v>
      </c>
      <c r="E80">
        <v>2001</v>
      </c>
      <c r="F80">
        <v>30.8</v>
      </c>
    </row>
    <row r="81" spans="1:6">
      <c r="A81" t="s">
        <v>25</v>
      </c>
      <c r="B81">
        <v>6853800</v>
      </c>
      <c r="C81">
        <v>60</v>
      </c>
      <c r="D81">
        <v>54716</v>
      </c>
      <c r="E81">
        <v>2002</v>
      </c>
      <c r="F81">
        <v>7.84</v>
      </c>
    </row>
    <row r="82" spans="1:6">
      <c r="A82" t="s">
        <v>25</v>
      </c>
      <c r="B82">
        <v>6853800</v>
      </c>
      <c r="C82">
        <v>60</v>
      </c>
      <c r="D82">
        <v>54716</v>
      </c>
      <c r="E82">
        <v>2003</v>
      </c>
      <c r="F82">
        <v>2.71</v>
      </c>
    </row>
    <row r="83" spans="1:6">
      <c r="A83" t="s">
        <v>25</v>
      </c>
      <c r="B83">
        <v>6853800</v>
      </c>
      <c r="C83">
        <v>60</v>
      </c>
      <c r="D83">
        <v>54716</v>
      </c>
      <c r="E83">
        <v>2004</v>
      </c>
      <c r="F83">
        <v>2.74</v>
      </c>
    </row>
    <row r="84" spans="1:6">
      <c r="A84" t="s">
        <v>25</v>
      </c>
      <c r="B84">
        <v>6853800</v>
      </c>
      <c r="C84">
        <v>60</v>
      </c>
      <c r="D84">
        <v>54716</v>
      </c>
      <c r="E84">
        <v>2005</v>
      </c>
      <c r="F84">
        <v>5.07</v>
      </c>
    </row>
    <row r="85" spans="1:6">
      <c r="A85" t="s">
        <v>25</v>
      </c>
      <c r="B85">
        <v>6853800</v>
      </c>
      <c r="C85">
        <v>60</v>
      </c>
      <c r="D85">
        <v>54716</v>
      </c>
      <c r="E85">
        <v>2006</v>
      </c>
      <c r="F85">
        <v>2.52</v>
      </c>
    </row>
    <row r="86" spans="1:6">
      <c r="A86" t="s">
        <v>25</v>
      </c>
      <c r="B86">
        <v>6853800</v>
      </c>
      <c r="C86">
        <v>60</v>
      </c>
      <c r="D86">
        <v>54716</v>
      </c>
      <c r="E86">
        <v>2007</v>
      </c>
      <c r="F86">
        <v>8.2899999999999991</v>
      </c>
    </row>
    <row r="87" spans="1:6">
      <c r="A87" t="s">
        <v>25</v>
      </c>
      <c r="B87">
        <v>6853800</v>
      </c>
      <c r="C87">
        <v>60</v>
      </c>
      <c r="D87">
        <v>54716</v>
      </c>
      <c r="E87">
        <v>2008</v>
      </c>
      <c r="F87">
        <v>39.1</v>
      </c>
    </row>
    <row r="88" spans="1:6">
      <c r="A88" t="s">
        <v>25</v>
      </c>
      <c r="B88">
        <v>6853800</v>
      </c>
      <c r="C88">
        <v>60</v>
      </c>
      <c r="D88">
        <v>54716</v>
      </c>
      <c r="E88">
        <v>2009</v>
      </c>
      <c r="F88">
        <v>33.6</v>
      </c>
    </row>
    <row r="89" spans="1:6">
      <c r="A89" t="s">
        <v>25</v>
      </c>
      <c r="B89">
        <v>6853800</v>
      </c>
      <c r="C89">
        <v>60</v>
      </c>
      <c r="D89">
        <v>54716</v>
      </c>
      <c r="E89">
        <v>2010</v>
      </c>
      <c r="F89">
        <v>38.5</v>
      </c>
    </row>
    <row r="90" spans="1:6">
      <c r="A90" t="s">
        <v>25</v>
      </c>
      <c r="B90">
        <v>6853800</v>
      </c>
      <c r="C90">
        <v>60</v>
      </c>
      <c r="D90">
        <v>54716</v>
      </c>
      <c r="E90">
        <v>2011</v>
      </c>
      <c r="F90">
        <v>76.900000000000006</v>
      </c>
    </row>
    <row r="91" spans="1:6">
      <c r="A91" t="s">
        <v>25</v>
      </c>
      <c r="B91">
        <v>6853800</v>
      </c>
      <c r="C91">
        <v>60</v>
      </c>
      <c r="D91">
        <v>54716</v>
      </c>
      <c r="E91">
        <v>2012</v>
      </c>
      <c r="F91">
        <v>11.9</v>
      </c>
    </row>
    <row r="92" spans="1:6">
      <c r="A92" t="s">
        <v>25</v>
      </c>
      <c r="B92">
        <v>6853800</v>
      </c>
      <c r="C92">
        <v>60</v>
      </c>
      <c r="D92">
        <v>54716</v>
      </c>
      <c r="E92">
        <v>2013</v>
      </c>
      <c r="F92">
        <v>3.56</v>
      </c>
    </row>
    <row r="93" spans="1:6">
      <c r="A93" t="s">
        <v>25</v>
      </c>
      <c r="B93">
        <v>6853800</v>
      </c>
      <c r="C93">
        <v>60</v>
      </c>
      <c r="D93">
        <v>54716</v>
      </c>
      <c r="E93">
        <v>2014</v>
      </c>
      <c r="F93">
        <v>7.88</v>
      </c>
    </row>
    <row r="94" spans="1:6">
      <c r="A94" t="s">
        <v>25</v>
      </c>
      <c r="B94">
        <v>6853800</v>
      </c>
      <c r="C94">
        <v>60</v>
      </c>
      <c r="D94">
        <v>54716</v>
      </c>
      <c r="E94">
        <v>2015</v>
      </c>
      <c r="F94">
        <v>19.7</v>
      </c>
    </row>
    <row r="95" spans="1:6">
      <c r="A95" t="s">
        <v>25</v>
      </c>
      <c r="B95">
        <v>6853800</v>
      </c>
      <c r="C95">
        <v>60</v>
      </c>
      <c r="D95">
        <v>54716</v>
      </c>
      <c r="E95">
        <v>2016</v>
      </c>
      <c r="F95">
        <v>13.3</v>
      </c>
    </row>
    <row r="96" spans="1:6">
      <c r="A96" t="s">
        <v>25</v>
      </c>
      <c r="B96">
        <v>6853800</v>
      </c>
      <c r="C96">
        <v>60</v>
      </c>
      <c r="D96">
        <v>54716</v>
      </c>
      <c r="E96">
        <v>2017</v>
      </c>
      <c r="F96">
        <v>26.2</v>
      </c>
    </row>
    <row r="97" spans="1:6">
      <c r="A97" t="s">
        <v>25</v>
      </c>
      <c r="B97">
        <v>6853800</v>
      </c>
      <c r="C97">
        <v>60</v>
      </c>
      <c r="D97">
        <v>54716</v>
      </c>
      <c r="E97">
        <v>2018</v>
      </c>
      <c r="F97">
        <v>17.8</v>
      </c>
    </row>
    <row r="98" spans="1:6">
      <c r="A98" t="s">
        <v>25</v>
      </c>
      <c r="B98">
        <v>6853800</v>
      </c>
      <c r="C98">
        <v>60</v>
      </c>
      <c r="D98">
        <v>54716</v>
      </c>
      <c r="E98">
        <v>2019</v>
      </c>
      <c r="F98">
        <v>78.3</v>
      </c>
    </row>
    <row r="99" spans="1:6">
      <c r="A99" t="s">
        <v>25</v>
      </c>
      <c r="B99">
        <v>6853800</v>
      </c>
      <c r="C99">
        <v>60</v>
      </c>
      <c r="D99">
        <v>54716</v>
      </c>
      <c r="E99">
        <v>2020</v>
      </c>
      <c r="F99">
        <v>39.9</v>
      </c>
    </row>
    <row r="100" spans="1:6">
      <c r="A100" t="s">
        <v>25</v>
      </c>
      <c r="B100">
        <v>6853800</v>
      </c>
      <c r="C100">
        <v>60</v>
      </c>
      <c r="D100">
        <v>54716</v>
      </c>
      <c r="E100">
        <v>2021</v>
      </c>
      <c r="F100">
        <v>24.1</v>
      </c>
    </row>
  </sheetData>
  <hyperlinks>
    <hyperlink ref="P4" r:id="rId1" display="https://waterdata.usgs.gov/ks/nwis/annual/?referred_module=sw&amp;amp;site_no=06853800&amp;amp;por_06853800_54716=92218,00060,54716,1958,2018&amp;amp;partial_periods=on&amp;amp;year_type=C&amp;amp;format=rdb&amp;amp;date_format=MM/DD/YYYY&amp;amp;rdb_compression=value&amp;amp;submitted_form=parameter_selection_list" xr:uid="{00000000-0004-0000-0300-000000000000}"/>
  </hyperlinks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74"/>
  <sheetViews>
    <sheetView topLeftCell="A46" workbookViewId="0">
      <selection activeCell="R70" sqref="R70"/>
    </sheetView>
  </sheetViews>
  <sheetFormatPr defaultRowHeight="13.2"/>
  <sheetData>
    <row r="1" spans="1:14">
      <c r="A1" s="16"/>
      <c r="B1" s="16"/>
      <c r="C1" s="16"/>
      <c r="D1" s="16"/>
      <c r="E1" s="16"/>
      <c r="F1" s="16"/>
      <c r="G1" s="16"/>
      <c r="H1" s="16"/>
      <c r="I1" s="16"/>
      <c r="J1" s="16"/>
      <c r="K1" s="17"/>
      <c r="L1" s="18"/>
      <c r="M1" s="16"/>
      <c r="N1" s="16"/>
    </row>
    <row r="2" spans="1:14">
      <c r="A2" s="16"/>
      <c r="B2" s="19"/>
      <c r="C2" s="19"/>
      <c r="D2" s="19"/>
      <c r="E2" s="19"/>
      <c r="F2" s="19" t="s">
        <v>96</v>
      </c>
      <c r="G2" s="19"/>
      <c r="H2" s="19"/>
      <c r="I2" s="19"/>
      <c r="J2" s="19"/>
      <c r="K2" s="19"/>
      <c r="L2" s="20"/>
      <c r="M2" s="21"/>
      <c r="N2" s="19"/>
    </row>
    <row r="3" spans="1:14">
      <c r="A3" s="16"/>
      <c r="B3" s="19"/>
      <c r="C3" s="19"/>
      <c r="D3" s="19"/>
      <c r="E3" s="19" t="s">
        <v>97</v>
      </c>
      <c r="F3" s="19"/>
      <c r="G3" s="19"/>
      <c r="H3" s="19"/>
      <c r="I3" s="19"/>
      <c r="J3" s="19"/>
      <c r="K3" s="19"/>
      <c r="L3" s="19"/>
      <c r="M3" s="19"/>
      <c r="N3" s="19"/>
    </row>
    <row r="4" spans="1:14">
      <c r="A4" s="16"/>
      <c r="B4" s="19"/>
      <c r="C4" s="19"/>
      <c r="D4" s="19"/>
      <c r="E4" s="19"/>
      <c r="F4" s="19"/>
      <c r="G4" s="22" t="s">
        <v>98</v>
      </c>
      <c r="H4" s="19"/>
      <c r="I4" s="19"/>
      <c r="J4" s="19"/>
      <c r="K4" s="19"/>
      <c r="L4" s="19"/>
      <c r="M4" s="19"/>
      <c r="N4" s="19"/>
    </row>
    <row r="5" spans="1:14">
      <c r="A5" s="23" t="s">
        <v>0</v>
      </c>
      <c r="B5" s="24" t="s">
        <v>7</v>
      </c>
      <c r="C5" s="24" t="s">
        <v>8</v>
      </c>
      <c r="D5" s="24" t="s">
        <v>9</v>
      </c>
      <c r="E5" s="24" t="s">
        <v>10</v>
      </c>
      <c r="F5" s="24" t="s">
        <v>11</v>
      </c>
      <c r="G5" s="24" t="s">
        <v>12</v>
      </c>
      <c r="H5" s="24" t="s">
        <v>13</v>
      </c>
      <c r="I5" s="24" t="s">
        <v>14</v>
      </c>
      <c r="J5" s="24" t="s">
        <v>15</v>
      </c>
      <c r="K5" s="24" t="s">
        <v>16</v>
      </c>
      <c r="L5" s="24" t="s">
        <v>17</v>
      </c>
      <c r="M5" s="24" t="s">
        <v>18</v>
      </c>
      <c r="N5" s="25" t="s">
        <v>99</v>
      </c>
    </row>
    <row r="6" spans="1:14">
      <c r="A6" s="26">
        <v>1957</v>
      </c>
      <c r="B6" s="27">
        <v>0</v>
      </c>
      <c r="C6" s="27">
        <v>0</v>
      </c>
      <c r="D6" s="27">
        <v>0</v>
      </c>
      <c r="E6" s="27">
        <v>0</v>
      </c>
      <c r="F6" s="27">
        <v>0</v>
      </c>
      <c r="G6" s="27">
        <v>0</v>
      </c>
      <c r="H6" s="27">
        <v>214</v>
      </c>
      <c r="I6" s="27">
        <v>399</v>
      </c>
      <c r="J6" s="27">
        <v>172</v>
      </c>
      <c r="K6" s="27">
        <v>27925</v>
      </c>
      <c r="L6" s="27">
        <v>163</v>
      </c>
      <c r="M6" s="27">
        <v>0</v>
      </c>
      <c r="N6" s="27">
        <f t="shared" ref="N6:N37" si="0">SUM(B6:M6)</f>
        <v>28873</v>
      </c>
    </row>
    <row r="7" spans="1:14">
      <c r="A7" s="16">
        <v>1958</v>
      </c>
      <c r="B7" s="28">
        <v>0</v>
      </c>
      <c r="C7" s="28">
        <v>0</v>
      </c>
      <c r="D7" s="28">
        <v>0</v>
      </c>
      <c r="E7" s="28">
        <v>0</v>
      </c>
      <c r="F7" s="28">
        <v>13601</v>
      </c>
      <c r="G7" s="28">
        <v>1373</v>
      </c>
      <c r="H7" s="28">
        <v>932</v>
      </c>
      <c r="I7" s="28">
        <v>938</v>
      </c>
      <c r="J7" s="28">
        <v>290</v>
      </c>
      <c r="K7" s="28">
        <v>488</v>
      </c>
      <c r="L7" s="28">
        <v>0</v>
      </c>
      <c r="M7" s="28">
        <v>0</v>
      </c>
      <c r="N7" s="28">
        <f t="shared" si="0"/>
        <v>17622</v>
      </c>
    </row>
    <row r="8" spans="1:14">
      <c r="A8" s="16">
        <v>1959</v>
      </c>
      <c r="B8" s="28">
        <v>0</v>
      </c>
      <c r="C8" s="28">
        <v>0</v>
      </c>
      <c r="D8" s="28">
        <v>0</v>
      </c>
      <c r="E8" s="28">
        <v>0</v>
      </c>
      <c r="F8" s="28">
        <v>0</v>
      </c>
      <c r="G8" s="28">
        <v>186</v>
      </c>
      <c r="H8" s="28">
        <v>2287</v>
      </c>
      <c r="I8" s="28">
        <v>2083</v>
      </c>
      <c r="J8" s="28">
        <v>2648</v>
      </c>
      <c r="K8" s="28">
        <v>500</v>
      </c>
      <c r="L8" s="28">
        <v>0</v>
      </c>
      <c r="M8" s="28">
        <v>0</v>
      </c>
      <c r="N8" s="28">
        <f t="shared" si="0"/>
        <v>7704</v>
      </c>
    </row>
    <row r="9" spans="1:14">
      <c r="A9" s="16">
        <v>1960</v>
      </c>
      <c r="B9" s="28">
        <v>0</v>
      </c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8">
        <v>3084</v>
      </c>
      <c r="I9" s="28">
        <v>6837</v>
      </c>
      <c r="J9" s="28">
        <v>2608</v>
      </c>
      <c r="K9" s="28">
        <v>169</v>
      </c>
      <c r="L9" s="28">
        <v>0</v>
      </c>
      <c r="M9" s="28">
        <v>0</v>
      </c>
      <c r="N9" s="28">
        <f t="shared" si="0"/>
        <v>12698</v>
      </c>
    </row>
    <row r="10" spans="1:14">
      <c r="A10" s="16">
        <v>1961</v>
      </c>
      <c r="B10" s="28">
        <v>0</v>
      </c>
      <c r="C10" s="28">
        <v>0</v>
      </c>
      <c r="D10" s="28">
        <v>0</v>
      </c>
      <c r="E10" s="28">
        <v>399</v>
      </c>
      <c r="F10" s="28">
        <v>6526</v>
      </c>
      <c r="G10" s="28">
        <v>256</v>
      </c>
      <c r="H10" s="28">
        <v>9596</v>
      </c>
      <c r="I10" s="28">
        <v>10316</v>
      </c>
      <c r="J10" s="28">
        <v>629</v>
      </c>
      <c r="K10" s="28">
        <v>139</v>
      </c>
      <c r="L10" s="28">
        <v>0</v>
      </c>
      <c r="M10" s="28">
        <v>0</v>
      </c>
      <c r="N10" s="28">
        <f t="shared" si="0"/>
        <v>27861</v>
      </c>
    </row>
    <row r="11" spans="1:14">
      <c r="A11" s="16">
        <v>1962</v>
      </c>
      <c r="B11" s="28">
        <v>0</v>
      </c>
      <c r="C11" s="28">
        <v>0</v>
      </c>
      <c r="D11" s="28">
        <v>0</v>
      </c>
      <c r="E11" s="28">
        <v>0</v>
      </c>
      <c r="F11" s="28">
        <v>16</v>
      </c>
      <c r="G11" s="28">
        <v>177</v>
      </c>
      <c r="H11" s="28">
        <v>1745</v>
      </c>
      <c r="I11" s="28">
        <v>3094</v>
      </c>
      <c r="J11" s="28">
        <v>456</v>
      </c>
      <c r="K11" s="28">
        <v>0</v>
      </c>
      <c r="L11" s="28">
        <v>0</v>
      </c>
      <c r="M11" s="28">
        <v>0</v>
      </c>
      <c r="N11" s="28">
        <f t="shared" si="0"/>
        <v>5488</v>
      </c>
    </row>
    <row r="12" spans="1:14">
      <c r="A12" s="16">
        <v>1963</v>
      </c>
      <c r="B12" s="28">
        <v>0</v>
      </c>
      <c r="C12" s="28">
        <v>0</v>
      </c>
      <c r="D12" s="28">
        <v>0</v>
      </c>
      <c r="E12" s="28">
        <v>0</v>
      </c>
      <c r="F12" s="28">
        <v>4122</v>
      </c>
      <c r="G12" s="28">
        <v>7166</v>
      </c>
      <c r="H12" s="28">
        <v>18526</v>
      </c>
      <c r="I12" s="28">
        <v>17351</v>
      </c>
      <c r="J12" s="28">
        <v>1410</v>
      </c>
      <c r="K12" s="28">
        <v>0</v>
      </c>
      <c r="L12" s="28">
        <v>0</v>
      </c>
      <c r="M12" s="28">
        <v>0</v>
      </c>
      <c r="N12" s="28">
        <f t="shared" si="0"/>
        <v>48575</v>
      </c>
    </row>
    <row r="13" spans="1:14">
      <c r="A13" s="16">
        <v>1964</v>
      </c>
      <c r="B13" s="28">
        <v>0</v>
      </c>
      <c r="C13" s="28">
        <v>0</v>
      </c>
      <c r="D13" s="28">
        <v>0</v>
      </c>
      <c r="E13" s="28">
        <v>0</v>
      </c>
      <c r="F13" s="28">
        <v>119</v>
      </c>
      <c r="G13" s="28">
        <v>1507</v>
      </c>
      <c r="H13" s="28">
        <v>22608</v>
      </c>
      <c r="I13" s="28">
        <v>27324</v>
      </c>
      <c r="J13" s="28">
        <v>7018</v>
      </c>
      <c r="K13" s="28">
        <v>0</v>
      </c>
      <c r="L13" s="28">
        <v>0</v>
      </c>
      <c r="M13" s="28">
        <v>0</v>
      </c>
      <c r="N13" s="28">
        <f t="shared" si="0"/>
        <v>58576</v>
      </c>
    </row>
    <row r="14" spans="1:14">
      <c r="A14" s="16">
        <v>1965</v>
      </c>
      <c r="B14" s="28">
        <v>0</v>
      </c>
      <c r="C14" s="28">
        <v>0</v>
      </c>
      <c r="D14" s="28">
        <v>0</v>
      </c>
      <c r="E14" s="28">
        <v>0</v>
      </c>
      <c r="F14" s="28">
        <v>0</v>
      </c>
      <c r="G14" s="28">
        <v>2507</v>
      </c>
      <c r="H14" s="28">
        <v>8477</v>
      </c>
      <c r="I14" s="28">
        <v>18659</v>
      </c>
      <c r="J14" s="28">
        <v>1343</v>
      </c>
      <c r="K14" s="28">
        <v>0</v>
      </c>
      <c r="L14" s="28">
        <v>0</v>
      </c>
      <c r="M14" s="28">
        <v>0</v>
      </c>
      <c r="N14" s="28">
        <f t="shared" si="0"/>
        <v>30986</v>
      </c>
    </row>
    <row r="15" spans="1:14">
      <c r="A15" s="16">
        <v>1966</v>
      </c>
      <c r="B15" s="28">
        <v>0</v>
      </c>
      <c r="C15" s="28">
        <v>0</v>
      </c>
      <c r="D15" s="28">
        <v>0</v>
      </c>
      <c r="E15" s="28">
        <v>0</v>
      </c>
      <c r="F15" s="28">
        <v>4869</v>
      </c>
      <c r="G15" s="28">
        <v>8420</v>
      </c>
      <c r="H15" s="28">
        <v>19115</v>
      </c>
      <c r="I15" s="28">
        <v>1567</v>
      </c>
      <c r="J15" s="28">
        <v>1194</v>
      </c>
      <c r="K15" s="28">
        <v>4897</v>
      </c>
      <c r="L15" s="28">
        <v>11851</v>
      </c>
      <c r="M15" s="28">
        <v>0</v>
      </c>
      <c r="N15" s="28">
        <f t="shared" si="0"/>
        <v>51913</v>
      </c>
    </row>
    <row r="16" spans="1:14">
      <c r="A16" s="16">
        <v>1967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28">
        <v>3054</v>
      </c>
      <c r="H16" s="28">
        <v>10318</v>
      </c>
      <c r="I16" s="28">
        <v>16463</v>
      </c>
      <c r="J16" s="28">
        <v>6403</v>
      </c>
      <c r="K16" s="28">
        <v>8576</v>
      </c>
      <c r="L16" s="28">
        <v>0</v>
      </c>
      <c r="M16" s="28">
        <v>0</v>
      </c>
      <c r="N16" s="28">
        <f t="shared" si="0"/>
        <v>44814</v>
      </c>
    </row>
    <row r="17" spans="1:14">
      <c r="A17" s="16">
        <v>1968</v>
      </c>
      <c r="B17" s="28">
        <v>0</v>
      </c>
      <c r="C17" s="28">
        <v>0</v>
      </c>
      <c r="D17" s="28">
        <v>0</v>
      </c>
      <c r="E17" s="28">
        <v>0</v>
      </c>
      <c r="F17" s="28">
        <v>831</v>
      </c>
      <c r="G17" s="28">
        <v>3679</v>
      </c>
      <c r="H17" s="28">
        <v>21478</v>
      </c>
      <c r="I17" s="28">
        <v>9155</v>
      </c>
      <c r="J17" s="28">
        <v>528</v>
      </c>
      <c r="K17" s="28">
        <v>0</v>
      </c>
      <c r="L17" s="28">
        <v>0</v>
      </c>
      <c r="M17" s="28">
        <v>0</v>
      </c>
      <c r="N17" s="28">
        <f t="shared" si="0"/>
        <v>35671</v>
      </c>
    </row>
    <row r="18" spans="1:14">
      <c r="A18" s="16">
        <v>1969</v>
      </c>
      <c r="B18" s="28">
        <v>0</v>
      </c>
      <c r="C18" s="28">
        <v>0</v>
      </c>
      <c r="D18" s="28">
        <v>0</v>
      </c>
      <c r="E18" s="28">
        <v>0</v>
      </c>
      <c r="F18" s="28">
        <v>0</v>
      </c>
      <c r="G18" s="28">
        <v>1686</v>
      </c>
      <c r="H18" s="28">
        <v>11722</v>
      </c>
      <c r="I18" s="28">
        <v>19964</v>
      </c>
      <c r="J18" s="28">
        <v>664</v>
      </c>
      <c r="K18" s="28">
        <v>0</v>
      </c>
      <c r="L18" s="28">
        <v>0</v>
      </c>
      <c r="M18" s="28">
        <v>0</v>
      </c>
      <c r="N18" s="28">
        <f t="shared" si="0"/>
        <v>34036</v>
      </c>
    </row>
    <row r="19" spans="1:14">
      <c r="A19" s="16">
        <v>1970</v>
      </c>
      <c r="B19" s="28">
        <v>0</v>
      </c>
      <c r="C19" s="28">
        <v>0</v>
      </c>
      <c r="D19" s="28">
        <v>0</v>
      </c>
      <c r="E19" s="28">
        <v>0</v>
      </c>
      <c r="F19" s="28">
        <v>12914</v>
      </c>
      <c r="G19" s="28">
        <v>3905</v>
      </c>
      <c r="H19" s="28">
        <v>20436</v>
      </c>
      <c r="I19" s="28">
        <v>25672</v>
      </c>
      <c r="J19" s="28">
        <v>5157</v>
      </c>
      <c r="K19" s="28">
        <v>561</v>
      </c>
      <c r="L19" s="28">
        <v>0</v>
      </c>
      <c r="M19" s="28">
        <v>0</v>
      </c>
      <c r="N19" s="28">
        <f t="shared" si="0"/>
        <v>68645</v>
      </c>
    </row>
    <row r="20" spans="1:14">
      <c r="A20" s="16">
        <v>1971</v>
      </c>
      <c r="B20" s="28">
        <v>0</v>
      </c>
      <c r="C20" s="28">
        <v>0</v>
      </c>
      <c r="D20" s="28">
        <v>0</v>
      </c>
      <c r="E20" s="28">
        <v>0</v>
      </c>
      <c r="F20" s="28">
        <v>0</v>
      </c>
      <c r="G20" s="28">
        <v>1266</v>
      </c>
      <c r="H20" s="28">
        <v>14508</v>
      </c>
      <c r="I20" s="28">
        <v>16177</v>
      </c>
      <c r="J20" s="28">
        <v>6491</v>
      </c>
      <c r="K20" s="28">
        <v>3007</v>
      </c>
      <c r="L20" s="28">
        <v>0</v>
      </c>
      <c r="M20" s="28">
        <v>0</v>
      </c>
      <c r="N20" s="28">
        <f t="shared" si="0"/>
        <v>41449</v>
      </c>
    </row>
    <row r="21" spans="1:14">
      <c r="A21" s="16">
        <v>1972</v>
      </c>
      <c r="B21" s="28">
        <v>0</v>
      </c>
      <c r="C21" s="28">
        <v>0</v>
      </c>
      <c r="D21" s="28">
        <v>0</v>
      </c>
      <c r="E21" s="28">
        <v>0</v>
      </c>
      <c r="F21" s="28">
        <v>2287</v>
      </c>
      <c r="G21" s="28">
        <v>3731</v>
      </c>
      <c r="H21" s="28">
        <v>16201</v>
      </c>
      <c r="I21" s="28">
        <v>3970</v>
      </c>
      <c r="J21" s="28">
        <v>746</v>
      </c>
      <c r="K21" s="28">
        <v>0</v>
      </c>
      <c r="L21" s="28">
        <v>0</v>
      </c>
      <c r="M21" s="28">
        <v>0</v>
      </c>
      <c r="N21" s="28">
        <f t="shared" si="0"/>
        <v>26935</v>
      </c>
    </row>
    <row r="22" spans="1:14">
      <c r="A22" s="16">
        <v>1973</v>
      </c>
      <c r="B22" s="28">
        <v>0</v>
      </c>
      <c r="C22" s="28">
        <v>0</v>
      </c>
      <c r="D22" s="28">
        <v>0</v>
      </c>
      <c r="E22" s="28">
        <v>0</v>
      </c>
      <c r="F22" s="28">
        <v>526</v>
      </c>
      <c r="G22" s="28">
        <v>2305</v>
      </c>
      <c r="H22" s="28">
        <v>11049</v>
      </c>
      <c r="I22" s="28">
        <v>6048</v>
      </c>
      <c r="J22" s="28">
        <v>714</v>
      </c>
      <c r="K22" s="28">
        <v>486</v>
      </c>
      <c r="L22" s="28">
        <v>0</v>
      </c>
      <c r="M22" s="28">
        <v>0</v>
      </c>
      <c r="N22" s="28">
        <f t="shared" si="0"/>
        <v>21128</v>
      </c>
    </row>
    <row r="23" spans="1:14">
      <c r="A23" s="16">
        <v>1974</v>
      </c>
      <c r="B23" s="28">
        <v>0</v>
      </c>
      <c r="C23" s="28">
        <v>0</v>
      </c>
      <c r="D23" s="28">
        <v>0</v>
      </c>
      <c r="E23" s="28">
        <v>0</v>
      </c>
      <c r="F23" s="28">
        <v>858</v>
      </c>
      <c r="G23" s="28">
        <v>2143</v>
      </c>
      <c r="H23" s="28">
        <v>20956</v>
      </c>
      <c r="I23" s="28">
        <v>14656</v>
      </c>
      <c r="J23" s="28">
        <v>2737</v>
      </c>
      <c r="K23" s="28">
        <v>97</v>
      </c>
      <c r="L23" s="28">
        <v>0</v>
      </c>
      <c r="M23" s="28">
        <v>0</v>
      </c>
      <c r="N23" s="28">
        <f t="shared" si="0"/>
        <v>41447</v>
      </c>
    </row>
    <row r="24" spans="1:14">
      <c r="A24" s="16">
        <v>1975</v>
      </c>
      <c r="B24" s="28">
        <v>0</v>
      </c>
      <c r="C24" s="28">
        <v>0</v>
      </c>
      <c r="D24" s="28">
        <v>0</v>
      </c>
      <c r="E24" s="28">
        <v>0</v>
      </c>
      <c r="F24" s="28">
        <v>1289</v>
      </c>
      <c r="G24" s="28">
        <v>1792</v>
      </c>
      <c r="H24" s="28">
        <v>18757</v>
      </c>
      <c r="I24" s="28">
        <v>16090</v>
      </c>
      <c r="J24" s="28">
        <v>5612</v>
      </c>
      <c r="K24" s="28">
        <v>138</v>
      </c>
      <c r="L24" s="28">
        <v>0</v>
      </c>
      <c r="M24" s="28">
        <v>0</v>
      </c>
      <c r="N24" s="28">
        <f t="shared" si="0"/>
        <v>43678</v>
      </c>
    </row>
    <row r="25" spans="1:14">
      <c r="A25" s="16">
        <v>1976</v>
      </c>
      <c r="B25" s="28">
        <v>0</v>
      </c>
      <c r="C25" s="28">
        <v>0</v>
      </c>
      <c r="D25" s="28">
        <v>0</v>
      </c>
      <c r="E25" s="28">
        <v>0</v>
      </c>
      <c r="F25" s="28">
        <v>400</v>
      </c>
      <c r="G25" s="28">
        <v>6419</v>
      </c>
      <c r="H25" s="28">
        <v>23057</v>
      </c>
      <c r="I25" s="28">
        <v>21447</v>
      </c>
      <c r="J25" s="28">
        <v>7622</v>
      </c>
      <c r="K25" s="28">
        <v>4301</v>
      </c>
      <c r="L25" s="28">
        <v>3587</v>
      </c>
      <c r="M25" s="28">
        <v>590</v>
      </c>
      <c r="N25" s="28">
        <f t="shared" si="0"/>
        <v>67423</v>
      </c>
    </row>
    <row r="26" spans="1:14">
      <c r="A26" s="16">
        <v>1977</v>
      </c>
      <c r="B26" s="28">
        <v>0</v>
      </c>
      <c r="C26" s="28">
        <v>0</v>
      </c>
      <c r="D26" s="28">
        <v>912</v>
      </c>
      <c r="E26" s="28">
        <v>5455</v>
      </c>
      <c r="F26" s="28">
        <v>2703</v>
      </c>
      <c r="G26" s="28">
        <v>3982</v>
      </c>
      <c r="H26" s="28">
        <v>16690</v>
      </c>
      <c r="I26" s="28">
        <v>13472</v>
      </c>
      <c r="J26" s="28">
        <v>67</v>
      </c>
      <c r="K26" s="28">
        <v>0</v>
      </c>
      <c r="L26" s="28">
        <v>0</v>
      </c>
      <c r="M26" s="28">
        <v>0</v>
      </c>
      <c r="N26" s="28">
        <f t="shared" si="0"/>
        <v>43281</v>
      </c>
    </row>
    <row r="27" spans="1:14">
      <c r="A27" s="16">
        <v>1978</v>
      </c>
      <c r="B27" s="28">
        <v>0</v>
      </c>
      <c r="C27" s="28">
        <v>0</v>
      </c>
      <c r="D27" s="28">
        <v>0</v>
      </c>
      <c r="E27" s="28">
        <v>0</v>
      </c>
      <c r="F27" s="28">
        <v>159</v>
      </c>
      <c r="G27" s="28">
        <v>4077</v>
      </c>
      <c r="H27" s="28">
        <v>15411</v>
      </c>
      <c r="I27" s="28">
        <v>4317</v>
      </c>
      <c r="J27" s="28">
        <v>1940</v>
      </c>
      <c r="K27" s="28">
        <v>0</v>
      </c>
      <c r="L27" s="28">
        <v>0</v>
      </c>
      <c r="M27" s="28">
        <v>0</v>
      </c>
      <c r="N27" s="28">
        <f t="shared" si="0"/>
        <v>25904</v>
      </c>
    </row>
    <row r="28" spans="1:14">
      <c r="A28" s="16">
        <v>1979</v>
      </c>
      <c r="B28" s="28">
        <v>0</v>
      </c>
      <c r="C28" s="28">
        <v>0</v>
      </c>
      <c r="D28" s="28">
        <v>0</v>
      </c>
      <c r="E28" s="28">
        <v>0</v>
      </c>
      <c r="F28" s="28">
        <v>1365</v>
      </c>
      <c r="G28" s="28">
        <v>2405</v>
      </c>
      <c r="H28" s="28">
        <v>1779</v>
      </c>
      <c r="I28" s="28">
        <v>2833</v>
      </c>
      <c r="J28" s="28">
        <v>4823</v>
      </c>
      <c r="K28" s="28">
        <v>2876</v>
      </c>
      <c r="L28" s="28">
        <v>0</v>
      </c>
      <c r="M28" s="28">
        <v>0</v>
      </c>
      <c r="N28" s="28">
        <f t="shared" si="0"/>
        <v>16081</v>
      </c>
    </row>
    <row r="29" spans="1:14">
      <c r="A29" s="16">
        <v>1980</v>
      </c>
      <c r="B29" s="28">
        <v>0</v>
      </c>
      <c r="C29" s="28">
        <v>0</v>
      </c>
      <c r="D29" s="28">
        <v>0</v>
      </c>
      <c r="E29" s="28">
        <v>0</v>
      </c>
      <c r="F29" s="28">
        <v>916</v>
      </c>
      <c r="G29" s="28">
        <v>2265</v>
      </c>
      <c r="H29" s="28">
        <v>12649</v>
      </c>
      <c r="I29" s="28">
        <v>22487</v>
      </c>
      <c r="J29" s="28">
        <v>3501</v>
      </c>
      <c r="K29" s="28">
        <v>0</v>
      </c>
      <c r="L29" s="28">
        <v>0</v>
      </c>
      <c r="M29" s="28">
        <v>0</v>
      </c>
      <c r="N29" s="28">
        <f t="shared" si="0"/>
        <v>41818</v>
      </c>
    </row>
    <row r="30" spans="1:14">
      <c r="A30" s="16">
        <v>1981</v>
      </c>
      <c r="B30" s="28">
        <v>0</v>
      </c>
      <c r="C30" s="28">
        <v>0</v>
      </c>
      <c r="D30" s="28">
        <v>319</v>
      </c>
      <c r="E30" s="28">
        <v>3849</v>
      </c>
      <c r="F30" s="28">
        <v>3461</v>
      </c>
      <c r="G30" s="28">
        <v>2764</v>
      </c>
      <c r="H30" s="28">
        <v>12149</v>
      </c>
      <c r="I30" s="28">
        <v>4431</v>
      </c>
      <c r="J30" s="28">
        <v>690</v>
      </c>
      <c r="K30" s="28">
        <v>0</v>
      </c>
      <c r="L30" s="28">
        <v>0</v>
      </c>
      <c r="M30" s="28">
        <v>0</v>
      </c>
      <c r="N30" s="28">
        <f t="shared" si="0"/>
        <v>27663</v>
      </c>
    </row>
    <row r="31" spans="1:14">
      <c r="A31" s="16">
        <v>1982</v>
      </c>
      <c r="B31" s="28">
        <v>0</v>
      </c>
      <c r="C31" s="28">
        <v>0</v>
      </c>
      <c r="D31" s="28">
        <v>0</v>
      </c>
      <c r="E31" s="28">
        <v>0</v>
      </c>
      <c r="F31" s="28">
        <v>0</v>
      </c>
      <c r="G31" s="28">
        <v>548</v>
      </c>
      <c r="H31" s="28">
        <v>4967</v>
      </c>
      <c r="I31" s="28">
        <v>4648</v>
      </c>
      <c r="J31" s="28">
        <v>1145</v>
      </c>
      <c r="K31" s="28">
        <v>0</v>
      </c>
      <c r="L31" s="28">
        <v>0</v>
      </c>
      <c r="M31" s="28">
        <v>0</v>
      </c>
      <c r="N31" s="28">
        <f t="shared" si="0"/>
        <v>11308</v>
      </c>
    </row>
    <row r="32" spans="1:14">
      <c r="A32" s="16">
        <v>1983</v>
      </c>
      <c r="B32" s="28">
        <v>0</v>
      </c>
      <c r="C32" s="28">
        <v>0</v>
      </c>
      <c r="D32" s="28">
        <v>0</v>
      </c>
      <c r="E32" s="28">
        <v>3356</v>
      </c>
      <c r="F32" s="28">
        <v>12112</v>
      </c>
      <c r="G32" s="28">
        <v>4023</v>
      </c>
      <c r="H32" s="28">
        <v>13476</v>
      </c>
      <c r="I32" s="28">
        <v>18230</v>
      </c>
      <c r="J32" s="28">
        <v>6387</v>
      </c>
      <c r="K32" s="28">
        <v>520</v>
      </c>
      <c r="L32" s="28">
        <v>0</v>
      </c>
      <c r="M32" s="28">
        <v>0</v>
      </c>
      <c r="N32" s="28">
        <f t="shared" si="0"/>
        <v>58104</v>
      </c>
    </row>
    <row r="33" spans="1:14">
      <c r="A33" s="16">
        <v>1984</v>
      </c>
      <c r="B33" s="28">
        <v>0</v>
      </c>
      <c r="C33" s="28">
        <v>0</v>
      </c>
      <c r="D33" s="28">
        <v>0</v>
      </c>
      <c r="E33" s="28">
        <v>0</v>
      </c>
      <c r="F33" s="28">
        <v>0</v>
      </c>
      <c r="G33" s="28">
        <v>1332</v>
      </c>
      <c r="H33" s="28">
        <v>10500</v>
      </c>
      <c r="I33" s="28">
        <v>17795</v>
      </c>
      <c r="J33" s="28">
        <v>5916</v>
      </c>
      <c r="K33" s="28">
        <v>6113</v>
      </c>
      <c r="L33" s="28">
        <v>542</v>
      </c>
      <c r="M33" s="28">
        <v>0</v>
      </c>
      <c r="N33" s="28">
        <f t="shared" si="0"/>
        <v>42198</v>
      </c>
    </row>
    <row r="34" spans="1:14">
      <c r="A34" s="16">
        <v>1985</v>
      </c>
      <c r="B34" s="28">
        <v>0</v>
      </c>
      <c r="C34" s="28">
        <v>0</v>
      </c>
      <c r="D34" s="28">
        <v>0</v>
      </c>
      <c r="E34" s="28">
        <v>0</v>
      </c>
      <c r="F34" s="28">
        <v>231</v>
      </c>
      <c r="G34" s="28">
        <v>1926</v>
      </c>
      <c r="H34" s="28">
        <v>11537</v>
      </c>
      <c r="I34" s="28">
        <v>3714</v>
      </c>
      <c r="J34" s="28">
        <v>1815</v>
      </c>
      <c r="K34" s="28">
        <v>0</v>
      </c>
      <c r="L34" s="28">
        <v>0</v>
      </c>
      <c r="M34" s="28">
        <v>0</v>
      </c>
      <c r="N34" s="28">
        <f t="shared" si="0"/>
        <v>19223</v>
      </c>
    </row>
    <row r="35" spans="1:14">
      <c r="A35" s="16">
        <v>1986</v>
      </c>
      <c r="B35" s="28">
        <v>0</v>
      </c>
      <c r="C35" s="28">
        <v>0</v>
      </c>
      <c r="D35" s="28">
        <v>0</v>
      </c>
      <c r="E35" s="28">
        <v>0</v>
      </c>
      <c r="F35" s="28">
        <v>0</v>
      </c>
      <c r="G35" s="28">
        <v>2056</v>
      </c>
      <c r="H35" s="28">
        <v>11521</v>
      </c>
      <c r="I35" s="28">
        <v>12607</v>
      </c>
      <c r="J35" s="28">
        <v>903</v>
      </c>
      <c r="K35" s="28">
        <v>0</v>
      </c>
      <c r="L35" s="28">
        <v>0</v>
      </c>
      <c r="M35" s="28">
        <v>0</v>
      </c>
      <c r="N35" s="28">
        <f t="shared" si="0"/>
        <v>27087</v>
      </c>
    </row>
    <row r="36" spans="1:14">
      <c r="A36" s="16">
        <v>1987</v>
      </c>
      <c r="B36" s="28">
        <v>0</v>
      </c>
      <c r="C36" s="28">
        <v>0</v>
      </c>
      <c r="D36" s="28">
        <v>0</v>
      </c>
      <c r="E36" s="28">
        <v>0</v>
      </c>
      <c r="F36" s="28">
        <v>0</v>
      </c>
      <c r="G36" s="28">
        <v>3118</v>
      </c>
      <c r="H36" s="28">
        <v>6162</v>
      </c>
      <c r="I36" s="28">
        <v>8694</v>
      </c>
      <c r="J36" s="28">
        <v>1160</v>
      </c>
      <c r="K36" s="28">
        <v>0</v>
      </c>
      <c r="L36" s="28">
        <v>0</v>
      </c>
      <c r="M36" s="28">
        <v>0</v>
      </c>
      <c r="N36" s="28">
        <f t="shared" si="0"/>
        <v>19134</v>
      </c>
    </row>
    <row r="37" spans="1:14">
      <c r="A37" s="16">
        <v>1988</v>
      </c>
      <c r="B37" s="28">
        <v>0</v>
      </c>
      <c r="C37" s="28">
        <v>0</v>
      </c>
      <c r="D37" s="28">
        <v>0</v>
      </c>
      <c r="E37" s="28">
        <v>0</v>
      </c>
      <c r="F37" s="28">
        <v>0</v>
      </c>
      <c r="G37" s="28">
        <v>8507</v>
      </c>
      <c r="H37" s="28">
        <v>21548</v>
      </c>
      <c r="I37" s="28">
        <v>7573</v>
      </c>
      <c r="J37" s="28">
        <v>4570</v>
      </c>
      <c r="K37" s="28">
        <v>1383</v>
      </c>
      <c r="L37" s="28">
        <v>0</v>
      </c>
      <c r="M37" s="28">
        <v>0</v>
      </c>
      <c r="N37" s="28">
        <f t="shared" si="0"/>
        <v>43581</v>
      </c>
    </row>
    <row r="38" spans="1:14">
      <c r="A38" s="16">
        <v>1989</v>
      </c>
      <c r="B38" s="28">
        <v>0</v>
      </c>
      <c r="C38" s="28">
        <v>0</v>
      </c>
      <c r="D38" s="28">
        <v>0</v>
      </c>
      <c r="E38" s="28">
        <v>978</v>
      </c>
      <c r="F38" s="28">
        <v>1486</v>
      </c>
      <c r="G38" s="28">
        <v>5923</v>
      </c>
      <c r="H38" s="28">
        <v>7603</v>
      </c>
      <c r="I38" s="28">
        <v>9063</v>
      </c>
      <c r="J38" s="28">
        <v>6526</v>
      </c>
      <c r="K38" s="28">
        <v>244</v>
      </c>
      <c r="L38" s="28">
        <v>0</v>
      </c>
      <c r="M38" s="28">
        <v>0</v>
      </c>
      <c r="N38" s="28">
        <f t="shared" ref="N38:N66" si="1">SUM(B38:M38)</f>
        <v>31823</v>
      </c>
    </row>
    <row r="39" spans="1:14">
      <c r="A39" s="29">
        <v>1990</v>
      </c>
      <c r="B39" s="28">
        <v>0</v>
      </c>
      <c r="C39" s="28">
        <v>1039</v>
      </c>
      <c r="D39" s="28">
        <v>4207</v>
      </c>
      <c r="E39" s="28">
        <v>0</v>
      </c>
      <c r="F39" s="28">
        <v>3141</v>
      </c>
      <c r="G39" s="28">
        <v>1985</v>
      </c>
      <c r="H39" s="28">
        <v>10676</v>
      </c>
      <c r="I39" s="28">
        <v>9439</v>
      </c>
      <c r="J39" s="28">
        <v>7785</v>
      </c>
      <c r="K39" s="28">
        <v>4094</v>
      </c>
      <c r="L39" s="28">
        <v>4122</v>
      </c>
      <c r="M39" s="28">
        <v>2166</v>
      </c>
      <c r="N39" s="28">
        <f t="shared" si="1"/>
        <v>48654</v>
      </c>
    </row>
    <row r="40" spans="1:14">
      <c r="A40" s="16">
        <v>1991</v>
      </c>
      <c r="B40" s="28">
        <v>0</v>
      </c>
      <c r="C40" s="28">
        <v>0</v>
      </c>
      <c r="D40" s="28">
        <v>3475</v>
      </c>
      <c r="E40" s="28">
        <v>4562</v>
      </c>
      <c r="F40" s="28">
        <v>3878</v>
      </c>
      <c r="G40" s="28">
        <v>994</v>
      </c>
      <c r="H40" s="28">
        <v>3280</v>
      </c>
      <c r="I40" s="28">
        <v>4465</v>
      </c>
      <c r="J40" s="28">
        <v>1553</v>
      </c>
      <c r="K40" s="28">
        <v>1982</v>
      </c>
      <c r="L40" s="28">
        <v>3457</v>
      </c>
      <c r="M40" s="28">
        <v>4435</v>
      </c>
      <c r="N40" s="28">
        <f t="shared" si="1"/>
        <v>32081</v>
      </c>
    </row>
    <row r="41" spans="1:14">
      <c r="A41" s="16">
        <v>1992</v>
      </c>
      <c r="B41" s="28">
        <v>4508</v>
      </c>
      <c r="C41" s="28">
        <v>4308</v>
      </c>
      <c r="D41" s="28">
        <v>4669</v>
      </c>
      <c r="E41" s="28">
        <v>4858</v>
      </c>
      <c r="F41" s="28">
        <v>3577</v>
      </c>
      <c r="G41" s="28">
        <v>1998</v>
      </c>
      <c r="H41" s="28">
        <v>1799</v>
      </c>
      <c r="I41" s="28">
        <v>1549</v>
      </c>
      <c r="J41" s="28">
        <v>610</v>
      </c>
      <c r="K41" s="28">
        <v>0</v>
      </c>
      <c r="L41" s="28">
        <v>0</v>
      </c>
      <c r="M41" s="28">
        <v>0</v>
      </c>
      <c r="N41" s="28">
        <f t="shared" si="1"/>
        <v>27876</v>
      </c>
    </row>
    <row r="42" spans="1:14">
      <c r="A42" s="16">
        <v>1993</v>
      </c>
      <c r="B42" s="28">
        <v>0</v>
      </c>
      <c r="C42" s="28">
        <v>0</v>
      </c>
      <c r="D42" s="28">
        <v>0</v>
      </c>
      <c r="E42" s="28">
        <v>0</v>
      </c>
      <c r="F42" s="28">
        <v>328</v>
      </c>
      <c r="G42" s="28">
        <v>676</v>
      </c>
      <c r="H42" s="28">
        <v>1113</v>
      </c>
      <c r="I42" s="28">
        <v>1713</v>
      </c>
      <c r="J42" s="28">
        <v>404</v>
      </c>
      <c r="K42" s="28">
        <v>0</v>
      </c>
      <c r="L42" s="28">
        <v>0</v>
      </c>
      <c r="M42" s="28">
        <v>0</v>
      </c>
      <c r="N42" s="28">
        <f t="shared" si="1"/>
        <v>4234</v>
      </c>
    </row>
    <row r="43" spans="1:14">
      <c r="A43" s="16">
        <v>1994</v>
      </c>
      <c r="B43" s="28">
        <v>0</v>
      </c>
      <c r="C43" s="28">
        <v>0</v>
      </c>
      <c r="D43" s="28">
        <v>0</v>
      </c>
      <c r="E43" s="28">
        <v>0</v>
      </c>
      <c r="F43" s="28">
        <v>0</v>
      </c>
      <c r="G43" s="28">
        <v>3536</v>
      </c>
      <c r="H43" s="28">
        <v>7657</v>
      </c>
      <c r="I43" s="28">
        <v>6369</v>
      </c>
      <c r="J43" s="28">
        <v>607</v>
      </c>
      <c r="K43" s="28">
        <v>0</v>
      </c>
      <c r="L43" s="28">
        <v>0</v>
      </c>
      <c r="M43" s="28">
        <v>0</v>
      </c>
      <c r="N43" s="28">
        <f t="shared" si="1"/>
        <v>18169</v>
      </c>
    </row>
    <row r="44" spans="1:14">
      <c r="A44" s="16">
        <v>1995</v>
      </c>
      <c r="B44" s="28">
        <v>3490</v>
      </c>
      <c r="C44" s="28">
        <v>2060</v>
      </c>
      <c r="D44" s="28">
        <v>0</v>
      </c>
      <c r="E44" s="28">
        <v>0</v>
      </c>
      <c r="F44" s="28">
        <v>0</v>
      </c>
      <c r="G44" s="28">
        <v>837</v>
      </c>
      <c r="H44" s="28">
        <v>3813</v>
      </c>
      <c r="I44" s="28">
        <v>10199</v>
      </c>
      <c r="J44" s="28">
        <v>9450</v>
      </c>
      <c r="K44" s="28">
        <v>1990</v>
      </c>
      <c r="L44" s="28">
        <v>0</v>
      </c>
      <c r="M44" s="28">
        <v>0</v>
      </c>
      <c r="N44" s="28">
        <f t="shared" si="1"/>
        <v>31839</v>
      </c>
    </row>
    <row r="45" spans="1:14">
      <c r="A45" s="16">
        <v>1996</v>
      </c>
      <c r="B45" s="28">
        <v>0</v>
      </c>
      <c r="C45" s="28">
        <v>0</v>
      </c>
      <c r="D45" s="28">
        <v>0</v>
      </c>
      <c r="E45" s="28">
        <v>105</v>
      </c>
      <c r="F45" s="28">
        <v>4875</v>
      </c>
      <c r="G45" s="28">
        <v>2207</v>
      </c>
      <c r="H45" s="28">
        <v>14724</v>
      </c>
      <c r="I45" s="28">
        <v>13192</v>
      </c>
      <c r="J45" s="28">
        <v>3746</v>
      </c>
      <c r="K45" s="28">
        <v>0</v>
      </c>
      <c r="L45" s="28">
        <v>0</v>
      </c>
      <c r="M45" s="28">
        <v>0</v>
      </c>
      <c r="N45" s="28">
        <f t="shared" si="1"/>
        <v>38849</v>
      </c>
    </row>
    <row r="46" spans="1:14">
      <c r="A46" s="16">
        <v>1997</v>
      </c>
      <c r="B46" s="28">
        <v>0</v>
      </c>
      <c r="C46" s="28">
        <v>0</v>
      </c>
      <c r="D46" s="28">
        <v>0</v>
      </c>
      <c r="E46" s="28">
        <v>0</v>
      </c>
      <c r="F46" s="28">
        <v>2476</v>
      </c>
      <c r="G46" s="28">
        <v>4180</v>
      </c>
      <c r="H46" s="28">
        <v>7180</v>
      </c>
      <c r="I46" s="28">
        <v>8609</v>
      </c>
      <c r="J46" s="28">
        <v>3731</v>
      </c>
      <c r="K46" s="28">
        <v>3626</v>
      </c>
      <c r="L46" s="28">
        <v>0</v>
      </c>
      <c r="M46" s="28">
        <v>0</v>
      </c>
      <c r="N46" s="28">
        <f t="shared" si="1"/>
        <v>29802</v>
      </c>
    </row>
    <row r="47" spans="1:14">
      <c r="A47" s="16">
        <v>1998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8">
        <v>4742</v>
      </c>
      <c r="H47" s="28">
        <v>12075</v>
      </c>
      <c r="I47" s="28">
        <v>7876</v>
      </c>
      <c r="J47" s="28">
        <v>3877</v>
      </c>
      <c r="K47" s="28">
        <v>0</v>
      </c>
      <c r="L47" s="28">
        <v>0</v>
      </c>
      <c r="M47" s="28">
        <v>0</v>
      </c>
      <c r="N47" s="28">
        <f t="shared" si="1"/>
        <v>28570</v>
      </c>
    </row>
    <row r="48" spans="1:14">
      <c r="A48" s="16">
        <v>1999</v>
      </c>
      <c r="B48" s="28">
        <v>0</v>
      </c>
      <c r="C48" s="28">
        <v>0</v>
      </c>
      <c r="D48" s="28">
        <v>0</v>
      </c>
      <c r="E48" s="28">
        <v>0</v>
      </c>
      <c r="F48" s="28">
        <v>0</v>
      </c>
      <c r="G48" s="28">
        <v>2888</v>
      </c>
      <c r="H48" s="28">
        <v>7234</v>
      </c>
      <c r="I48" s="28">
        <v>6614</v>
      </c>
      <c r="J48" s="28">
        <v>4115</v>
      </c>
      <c r="K48" s="28">
        <v>0</v>
      </c>
      <c r="L48" s="28">
        <v>0</v>
      </c>
      <c r="M48" s="28">
        <v>0</v>
      </c>
      <c r="N48" s="28">
        <f t="shared" si="1"/>
        <v>20851</v>
      </c>
    </row>
    <row r="49" spans="1:14">
      <c r="A49" s="16">
        <v>2000</v>
      </c>
      <c r="B49" s="28">
        <v>0</v>
      </c>
      <c r="C49" s="28">
        <v>835</v>
      </c>
      <c r="D49" s="28">
        <v>10025</v>
      </c>
      <c r="E49" s="28">
        <v>6825</v>
      </c>
      <c r="F49" s="28">
        <v>1838</v>
      </c>
      <c r="G49" s="28">
        <v>7668</v>
      </c>
      <c r="H49" s="28">
        <v>16875</v>
      </c>
      <c r="I49" s="28">
        <v>14631</v>
      </c>
      <c r="J49" s="28">
        <v>3563</v>
      </c>
      <c r="K49" s="28">
        <v>3130</v>
      </c>
      <c r="L49" s="28">
        <v>4092</v>
      </c>
      <c r="M49" s="28">
        <v>3997</v>
      </c>
      <c r="N49" s="28">
        <f t="shared" si="1"/>
        <v>73479</v>
      </c>
    </row>
    <row r="50" spans="1:14">
      <c r="A50" s="16">
        <v>2001</v>
      </c>
      <c r="B50" s="28">
        <v>4027</v>
      </c>
      <c r="C50" s="28">
        <v>764</v>
      </c>
      <c r="D50" s="28">
        <v>0</v>
      </c>
      <c r="E50" s="28">
        <v>0</v>
      </c>
      <c r="F50" s="28">
        <v>0</v>
      </c>
      <c r="G50" s="28">
        <v>1324</v>
      </c>
      <c r="H50" s="28">
        <v>8933</v>
      </c>
      <c r="I50" s="28">
        <v>4356</v>
      </c>
      <c r="J50" s="28">
        <v>6713</v>
      </c>
      <c r="K50" s="28">
        <v>4792</v>
      </c>
      <c r="L50" s="28">
        <v>0</v>
      </c>
      <c r="M50" s="28">
        <v>0</v>
      </c>
      <c r="N50" s="28">
        <f t="shared" si="1"/>
        <v>30909</v>
      </c>
    </row>
    <row r="51" spans="1:14">
      <c r="A51" s="16">
        <v>2002</v>
      </c>
      <c r="B51" s="28">
        <v>0</v>
      </c>
      <c r="C51" s="28">
        <v>0</v>
      </c>
      <c r="D51" s="28">
        <v>0</v>
      </c>
      <c r="E51" s="28">
        <v>3043</v>
      </c>
      <c r="F51" s="28">
        <v>5470</v>
      </c>
      <c r="G51" s="28">
        <v>1686</v>
      </c>
      <c r="H51" s="28">
        <v>11412</v>
      </c>
      <c r="I51" s="28">
        <v>9023</v>
      </c>
      <c r="J51" s="28">
        <v>2488</v>
      </c>
      <c r="K51" s="28">
        <v>3572</v>
      </c>
      <c r="L51" s="28">
        <v>3878</v>
      </c>
      <c r="M51" s="28">
        <v>3581</v>
      </c>
      <c r="N51" s="28">
        <f t="shared" si="1"/>
        <v>44153</v>
      </c>
    </row>
    <row r="52" spans="1:14">
      <c r="A52" s="16">
        <v>2003</v>
      </c>
      <c r="B52" s="30">
        <v>3355</v>
      </c>
      <c r="C52" s="28">
        <v>1740</v>
      </c>
      <c r="D52" s="28">
        <v>0</v>
      </c>
      <c r="E52" s="28">
        <v>3167</v>
      </c>
      <c r="F52" s="28">
        <v>4232</v>
      </c>
      <c r="G52" s="28">
        <v>1426</v>
      </c>
      <c r="H52" s="28">
        <v>2061</v>
      </c>
      <c r="I52" s="28">
        <v>3288</v>
      </c>
      <c r="J52" s="28">
        <v>1582</v>
      </c>
      <c r="K52" s="28">
        <v>1189</v>
      </c>
      <c r="L52" s="28">
        <v>2006</v>
      </c>
      <c r="M52" s="28">
        <v>2550</v>
      </c>
      <c r="N52" s="28">
        <f t="shared" si="1"/>
        <v>26596</v>
      </c>
    </row>
    <row r="53" spans="1:14">
      <c r="A53" s="16">
        <v>2004</v>
      </c>
      <c r="B53" s="31">
        <v>2685</v>
      </c>
      <c r="C53" s="31">
        <v>1398</v>
      </c>
      <c r="D53" s="31">
        <v>1128</v>
      </c>
      <c r="E53" s="31">
        <v>3776</v>
      </c>
      <c r="F53" s="31">
        <v>2150</v>
      </c>
      <c r="G53" s="31">
        <v>104</v>
      </c>
      <c r="H53" s="31">
        <v>230</v>
      </c>
      <c r="I53" s="31">
        <v>0</v>
      </c>
      <c r="J53" s="31">
        <v>0</v>
      </c>
      <c r="K53" s="31">
        <v>0</v>
      </c>
      <c r="L53" s="31">
        <v>831</v>
      </c>
      <c r="M53" s="32">
        <v>1828</v>
      </c>
      <c r="N53" s="28">
        <f t="shared" si="1"/>
        <v>14130</v>
      </c>
    </row>
    <row r="54" spans="1:14">
      <c r="A54" s="16">
        <v>2005</v>
      </c>
      <c r="B54" s="31">
        <v>1804</v>
      </c>
      <c r="C54" s="31">
        <v>3430</v>
      </c>
      <c r="D54" s="31">
        <v>3950</v>
      </c>
      <c r="E54" s="31">
        <v>5677</v>
      </c>
      <c r="F54" s="31">
        <v>3749</v>
      </c>
      <c r="G54" s="31">
        <v>4164</v>
      </c>
      <c r="H54" s="31">
        <v>0</v>
      </c>
      <c r="I54" s="31">
        <v>1562</v>
      </c>
      <c r="J54" s="31">
        <v>913</v>
      </c>
      <c r="K54" s="31">
        <v>884</v>
      </c>
      <c r="L54" s="31">
        <v>1512</v>
      </c>
      <c r="M54" s="32">
        <v>1620</v>
      </c>
      <c r="N54" s="28">
        <f t="shared" si="1"/>
        <v>29265</v>
      </c>
    </row>
    <row r="55" spans="1:14">
      <c r="A55" s="16">
        <v>2006</v>
      </c>
      <c r="B55" s="31">
        <v>2473.4245000000001</v>
      </c>
      <c r="C55" s="31">
        <v>1967.6320000000001</v>
      </c>
      <c r="D55" s="31">
        <v>2862.1905000000002</v>
      </c>
      <c r="E55" s="31">
        <v>3508.8115000000003</v>
      </c>
      <c r="F55" s="31">
        <v>1003.6510000000001</v>
      </c>
      <c r="G55" s="31">
        <v>478.02350000000001</v>
      </c>
      <c r="H55" s="31">
        <v>1862.5065</v>
      </c>
      <c r="I55" s="31">
        <v>91.241</v>
      </c>
      <c r="J55" s="31">
        <v>398.68349999999998</v>
      </c>
      <c r="K55" s="31">
        <v>872.74</v>
      </c>
      <c r="L55" s="31">
        <v>1610.6020000000001</v>
      </c>
      <c r="M55" s="32">
        <v>1963.665</v>
      </c>
      <c r="N55" s="28">
        <f t="shared" si="1"/>
        <v>19093.170999999998</v>
      </c>
    </row>
    <row r="56" spans="1:14">
      <c r="A56" s="16">
        <v>2007</v>
      </c>
      <c r="B56" s="31">
        <v>2046.972</v>
      </c>
      <c r="C56" s="31">
        <v>4076.0925000000002</v>
      </c>
      <c r="D56" s="31">
        <v>3602.0360000000001</v>
      </c>
      <c r="E56" s="31">
        <v>3941.2145</v>
      </c>
      <c r="F56" s="31">
        <v>4447.0070000000005</v>
      </c>
      <c r="G56" s="31">
        <v>1805.5998850000001</v>
      </c>
      <c r="H56" s="31">
        <v>5318.4775600000003</v>
      </c>
      <c r="I56" s="31">
        <v>5975.3135849999999</v>
      </c>
      <c r="J56" s="31">
        <v>3227.1545000000001</v>
      </c>
      <c r="K56" s="31">
        <v>247.77882</v>
      </c>
      <c r="L56" s="31">
        <v>0</v>
      </c>
      <c r="M56" s="32">
        <v>0</v>
      </c>
      <c r="N56" s="28">
        <f t="shared" si="1"/>
        <v>34687.646349999995</v>
      </c>
    </row>
    <row r="57" spans="1:14">
      <c r="A57" s="16">
        <v>2008</v>
      </c>
      <c r="B57" s="31">
        <v>0</v>
      </c>
      <c r="C57" s="31">
        <v>0</v>
      </c>
      <c r="D57" s="31">
        <v>0</v>
      </c>
      <c r="E57" s="31">
        <v>0</v>
      </c>
      <c r="F57" s="31">
        <v>0</v>
      </c>
      <c r="G57" s="31">
        <v>1000</v>
      </c>
      <c r="H57" s="31">
        <v>3799</v>
      </c>
      <c r="I57" s="31">
        <v>2453</v>
      </c>
      <c r="J57" s="31">
        <v>405</v>
      </c>
      <c r="K57" s="31">
        <v>0</v>
      </c>
      <c r="L57" s="31">
        <v>0</v>
      </c>
      <c r="M57" s="32">
        <v>0</v>
      </c>
      <c r="N57" s="28">
        <f t="shared" si="1"/>
        <v>7657</v>
      </c>
    </row>
    <row r="58" spans="1:14">
      <c r="A58" s="16">
        <v>2009</v>
      </c>
      <c r="B58" s="31">
        <v>0</v>
      </c>
      <c r="C58" s="31">
        <v>0</v>
      </c>
      <c r="D58" s="31">
        <v>0</v>
      </c>
      <c r="E58" s="31">
        <v>0</v>
      </c>
      <c r="F58" s="31">
        <v>288</v>
      </c>
      <c r="G58" s="31">
        <v>2571</v>
      </c>
      <c r="H58" s="31">
        <v>4169</v>
      </c>
      <c r="I58" s="31">
        <v>3846</v>
      </c>
      <c r="J58" s="31">
        <v>2781</v>
      </c>
      <c r="K58" s="31">
        <v>3353</v>
      </c>
      <c r="L58" s="31">
        <v>600</v>
      </c>
      <c r="M58" s="32">
        <v>0</v>
      </c>
      <c r="N58" s="28">
        <f t="shared" si="1"/>
        <v>17608</v>
      </c>
    </row>
    <row r="59" spans="1:14">
      <c r="A59" s="16">
        <v>2010</v>
      </c>
      <c r="B59" s="31">
        <v>0</v>
      </c>
      <c r="C59" s="31">
        <v>0</v>
      </c>
      <c r="D59" s="31">
        <v>0</v>
      </c>
      <c r="E59" s="31">
        <v>0</v>
      </c>
      <c r="F59" s="31">
        <v>0</v>
      </c>
      <c r="G59" s="31">
        <v>250</v>
      </c>
      <c r="H59" s="31">
        <v>2575</v>
      </c>
      <c r="I59" s="31">
        <v>7668</v>
      </c>
      <c r="J59" s="31">
        <v>7537</v>
      </c>
      <c r="K59" s="31">
        <v>0</v>
      </c>
      <c r="L59" s="31">
        <v>0</v>
      </c>
      <c r="M59" s="32">
        <v>0</v>
      </c>
      <c r="N59" s="28">
        <f t="shared" si="1"/>
        <v>18030</v>
      </c>
    </row>
    <row r="60" spans="1:14">
      <c r="A60" s="16">
        <v>2011</v>
      </c>
      <c r="B60" s="31">
        <v>0</v>
      </c>
      <c r="C60" s="31">
        <v>0</v>
      </c>
      <c r="D60" s="31">
        <v>0</v>
      </c>
      <c r="E60" s="31">
        <v>0</v>
      </c>
      <c r="F60" s="31">
        <v>1974</v>
      </c>
      <c r="G60" s="31">
        <v>876</v>
      </c>
      <c r="H60" s="31">
        <v>2879</v>
      </c>
      <c r="I60" s="31">
        <v>2826</v>
      </c>
      <c r="J60" s="31">
        <v>1761</v>
      </c>
      <c r="K60" s="31">
        <v>0</v>
      </c>
      <c r="L60" s="31">
        <v>0</v>
      </c>
      <c r="M60" s="32">
        <v>0</v>
      </c>
      <c r="N60" s="28">
        <f t="shared" si="1"/>
        <v>10316</v>
      </c>
    </row>
    <row r="61" spans="1:14">
      <c r="A61" s="16">
        <v>2012</v>
      </c>
      <c r="B61" s="28">
        <v>0</v>
      </c>
      <c r="C61" s="28">
        <v>0</v>
      </c>
      <c r="D61" s="28">
        <v>0</v>
      </c>
      <c r="E61" s="28">
        <v>0</v>
      </c>
      <c r="F61" s="28">
        <v>427</v>
      </c>
      <c r="G61" s="28">
        <v>4589</v>
      </c>
      <c r="H61" s="28">
        <v>9458</v>
      </c>
      <c r="I61" s="28">
        <v>12836</v>
      </c>
      <c r="J61" s="28">
        <v>3031</v>
      </c>
      <c r="K61" s="28">
        <v>2047</v>
      </c>
      <c r="L61" s="28">
        <v>2563</v>
      </c>
      <c r="M61" s="28">
        <v>2402</v>
      </c>
      <c r="N61" s="28">
        <f t="shared" si="1"/>
        <v>37353</v>
      </c>
    </row>
    <row r="62" spans="1:14">
      <c r="A62" s="16">
        <v>2013</v>
      </c>
      <c r="B62" s="28">
        <v>2605</v>
      </c>
      <c r="C62" s="28">
        <v>3247</v>
      </c>
      <c r="D62" s="28">
        <v>4936</v>
      </c>
      <c r="E62" s="28">
        <v>1959</v>
      </c>
      <c r="F62" s="28">
        <v>4016</v>
      </c>
      <c r="G62" s="28">
        <v>3249</v>
      </c>
      <c r="H62" s="28">
        <v>4430</v>
      </c>
      <c r="I62" s="28">
        <v>2112</v>
      </c>
      <c r="J62" s="28">
        <v>1654</v>
      </c>
      <c r="K62" s="28">
        <v>240</v>
      </c>
      <c r="L62" s="28">
        <v>674</v>
      </c>
      <c r="M62" s="28">
        <v>9310</v>
      </c>
      <c r="N62" s="28">
        <f t="shared" si="1"/>
        <v>38432</v>
      </c>
    </row>
    <row r="63" spans="1:14">
      <c r="A63" s="16">
        <v>2014</v>
      </c>
      <c r="B63" s="28">
        <v>1495</v>
      </c>
      <c r="C63" s="28">
        <v>0</v>
      </c>
      <c r="D63" s="28">
        <v>1842</v>
      </c>
      <c r="E63" s="28">
        <v>3551</v>
      </c>
      <c r="F63" s="28">
        <v>3041</v>
      </c>
      <c r="G63" s="28">
        <v>3989</v>
      </c>
      <c r="H63" s="28">
        <v>6376</v>
      </c>
      <c r="I63" s="28">
        <v>13861</v>
      </c>
      <c r="J63" s="28">
        <v>1401</v>
      </c>
      <c r="K63" s="28">
        <v>0</v>
      </c>
      <c r="L63" s="28">
        <v>0</v>
      </c>
      <c r="M63" s="28">
        <v>894</v>
      </c>
      <c r="N63" s="28">
        <f t="shared" si="1"/>
        <v>36450</v>
      </c>
    </row>
    <row r="64" spans="1:14">
      <c r="A64" s="16">
        <v>2015</v>
      </c>
      <c r="B64" s="28">
        <v>2282</v>
      </c>
      <c r="C64" s="28">
        <v>2719</v>
      </c>
      <c r="D64" s="28">
        <v>3243</v>
      </c>
      <c r="E64" s="28">
        <v>2741</v>
      </c>
      <c r="F64" s="28">
        <v>120</v>
      </c>
      <c r="G64" s="28">
        <v>687</v>
      </c>
      <c r="H64" s="28">
        <v>3966</v>
      </c>
      <c r="I64" s="28">
        <v>4360</v>
      </c>
      <c r="J64" s="28">
        <v>3718</v>
      </c>
      <c r="K64" s="28">
        <v>2290</v>
      </c>
      <c r="L64" s="28">
        <v>3076</v>
      </c>
      <c r="M64" s="28">
        <v>1331</v>
      </c>
      <c r="N64" s="28">
        <f t="shared" si="1"/>
        <v>30533</v>
      </c>
    </row>
    <row r="65" spans="1:21">
      <c r="A65" s="16">
        <v>2016</v>
      </c>
      <c r="B65" s="28">
        <v>0</v>
      </c>
      <c r="C65" s="28">
        <v>0</v>
      </c>
      <c r="D65" s="28">
        <v>0</v>
      </c>
      <c r="E65" s="28">
        <v>2883</v>
      </c>
      <c r="F65" s="28">
        <v>227</v>
      </c>
      <c r="G65" s="28">
        <v>3315</v>
      </c>
      <c r="H65" s="28">
        <v>4310</v>
      </c>
      <c r="I65" s="28">
        <v>4236</v>
      </c>
      <c r="J65" s="28">
        <v>827</v>
      </c>
      <c r="K65" s="28">
        <v>0</v>
      </c>
      <c r="L65" s="28">
        <v>0</v>
      </c>
      <c r="M65" s="28">
        <v>0</v>
      </c>
      <c r="N65" s="28">
        <f t="shared" si="1"/>
        <v>15798</v>
      </c>
    </row>
    <row r="66" spans="1:21">
      <c r="A66" s="16">
        <v>2017</v>
      </c>
      <c r="B66" s="28">
        <v>0</v>
      </c>
      <c r="C66" s="28">
        <v>0</v>
      </c>
      <c r="D66" s="28">
        <v>0</v>
      </c>
      <c r="E66" s="28">
        <v>0</v>
      </c>
      <c r="F66" s="28">
        <v>844</v>
      </c>
      <c r="G66" s="28">
        <v>1209</v>
      </c>
      <c r="H66" s="28">
        <v>4468</v>
      </c>
      <c r="I66" s="28">
        <v>4367</v>
      </c>
      <c r="J66" s="28">
        <v>3677</v>
      </c>
      <c r="K66" s="28">
        <v>8378</v>
      </c>
      <c r="L66" s="28">
        <v>5065</v>
      </c>
      <c r="M66" s="28">
        <v>112</v>
      </c>
      <c r="N66" s="28">
        <f t="shared" si="1"/>
        <v>28120</v>
      </c>
    </row>
    <row r="67" spans="1:21">
      <c r="A67" s="80">
        <v>2018</v>
      </c>
      <c r="B67" s="81">
        <v>0</v>
      </c>
      <c r="C67" s="81">
        <v>0</v>
      </c>
      <c r="D67" s="81">
        <v>0</v>
      </c>
      <c r="E67" s="81">
        <v>1794</v>
      </c>
      <c r="F67" s="81">
        <v>2655</v>
      </c>
      <c r="G67" s="81">
        <v>3562</v>
      </c>
      <c r="H67" s="81">
        <v>4632</v>
      </c>
      <c r="I67" s="81">
        <v>4803</v>
      </c>
      <c r="J67" s="81">
        <v>1973</v>
      </c>
      <c r="K67" s="81">
        <v>0</v>
      </c>
      <c r="L67" s="81">
        <v>0</v>
      </c>
      <c r="M67" s="81">
        <v>0</v>
      </c>
      <c r="N67" s="28">
        <f>SUM(B67:M67)</f>
        <v>19419</v>
      </c>
    </row>
    <row r="68" spans="1:21">
      <c r="A68" s="80">
        <v>2019</v>
      </c>
      <c r="B68" s="81">
        <v>658</v>
      </c>
      <c r="C68" s="81">
        <v>3026</v>
      </c>
      <c r="D68" s="81">
        <v>2241</v>
      </c>
      <c r="E68" s="81">
        <v>0</v>
      </c>
      <c r="F68" s="81">
        <v>0</v>
      </c>
      <c r="G68" s="81">
        <v>409</v>
      </c>
      <c r="H68" s="81">
        <v>1302</v>
      </c>
      <c r="I68" s="81">
        <v>2802</v>
      </c>
      <c r="J68" s="81">
        <v>1698</v>
      </c>
      <c r="K68" s="81">
        <v>0</v>
      </c>
      <c r="L68" s="81">
        <v>0</v>
      </c>
      <c r="M68" s="81">
        <v>0</v>
      </c>
      <c r="N68" s="28">
        <f>SUM(B68:M68)</f>
        <v>12136</v>
      </c>
    </row>
    <row r="69" spans="1:21" ht="15">
      <c r="A69">
        <v>2020</v>
      </c>
      <c r="B69" s="9">
        <v>0</v>
      </c>
      <c r="C69" s="9">
        <v>0</v>
      </c>
      <c r="D69" s="9">
        <v>0</v>
      </c>
      <c r="E69" s="9">
        <v>2277</v>
      </c>
      <c r="F69" s="9">
        <v>705</v>
      </c>
      <c r="G69" s="9">
        <v>1401</v>
      </c>
      <c r="H69" s="9">
        <v>4641</v>
      </c>
      <c r="I69" s="9">
        <v>1786</v>
      </c>
      <c r="J69" s="9">
        <v>4758</v>
      </c>
      <c r="K69" s="97">
        <v>1905</v>
      </c>
      <c r="L69" s="9">
        <v>0</v>
      </c>
      <c r="M69" s="9">
        <v>0</v>
      </c>
      <c r="N69" s="97">
        <f t="shared" ref="N69" si="2">SUM(B69:M69)</f>
        <v>17473</v>
      </c>
      <c r="O69" s="9"/>
      <c r="P69" s="9"/>
      <c r="Q69" s="96"/>
      <c r="R69" s="96"/>
      <c r="S69" s="96"/>
      <c r="T69" s="96"/>
      <c r="U69" s="96"/>
    </row>
    <row r="70" spans="1:21" ht="15">
      <c r="A70">
        <v>2021</v>
      </c>
      <c r="B70" s="9">
        <v>0</v>
      </c>
      <c r="C70" s="9">
        <v>0</v>
      </c>
      <c r="D70" s="9">
        <v>0</v>
      </c>
      <c r="E70" s="9">
        <v>0</v>
      </c>
      <c r="F70" s="9">
        <v>214</v>
      </c>
      <c r="G70" s="9">
        <v>1627</v>
      </c>
      <c r="H70" s="9">
        <v>8349</v>
      </c>
      <c r="I70" s="9">
        <v>10193</v>
      </c>
      <c r="J70" s="9">
        <v>5558</v>
      </c>
      <c r="K70" s="101">
        <v>0</v>
      </c>
      <c r="L70" s="9">
        <v>0</v>
      </c>
      <c r="M70" s="9">
        <v>0</v>
      </c>
      <c r="N70" s="101">
        <v>25941</v>
      </c>
      <c r="O70" s="9"/>
      <c r="P70" s="9"/>
      <c r="Q70" s="96"/>
      <c r="R70" s="96"/>
      <c r="S70" s="96"/>
      <c r="T70" s="96"/>
      <c r="U70" s="96"/>
    </row>
    <row r="71" spans="1:21" ht="15">
      <c r="B71" s="9"/>
      <c r="C71" s="9"/>
      <c r="D71" s="9"/>
      <c r="E71" s="9"/>
      <c r="F71" s="9"/>
      <c r="G71" s="9"/>
      <c r="H71" s="9"/>
      <c r="I71" s="9"/>
      <c r="J71" s="9"/>
      <c r="K71" s="97"/>
      <c r="L71" s="9"/>
      <c r="M71" s="9"/>
      <c r="N71" s="97"/>
      <c r="O71" s="9"/>
      <c r="P71" s="9"/>
      <c r="Q71" s="96"/>
      <c r="R71" s="96"/>
      <c r="S71" s="96"/>
      <c r="T71" s="96"/>
      <c r="U71" s="96"/>
    </row>
    <row r="72" spans="1:21"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28"/>
    </row>
    <row r="73" spans="1:21">
      <c r="A73" s="85" t="s">
        <v>100</v>
      </c>
      <c r="B73" s="27">
        <f t="shared" ref="B73:M73" si="3">SUM(B6:B68)</f>
        <v>31429.396500000003</v>
      </c>
      <c r="C73" s="27">
        <f t="shared" si="3"/>
        <v>30609.7245</v>
      </c>
      <c r="D73" s="27">
        <f t="shared" si="3"/>
        <v>47411.226500000004</v>
      </c>
      <c r="E73" s="27">
        <f t="shared" si="3"/>
        <v>66428.026000000013</v>
      </c>
      <c r="F73" s="27">
        <f t="shared" si="3"/>
        <v>125547.658</v>
      </c>
      <c r="G73" s="27">
        <f t="shared" si="3"/>
        <v>162902.62338500001</v>
      </c>
      <c r="H73" s="27">
        <f t="shared" si="3"/>
        <v>569664.98406000005</v>
      </c>
      <c r="I73" s="27">
        <f t="shared" si="3"/>
        <v>543195.55458500003</v>
      </c>
      <c r="J73" s="27">
        <f t="shared" si="3"/>
        <v>179110.83800000002</v>
      </c>
      <c r="K73" s="27">
        <f t="shared" si="3"/>
        <v>105107.51882000001</v>
      </c>
      <c r="L73" s="27">
        <f t="shared" si="3"/>
        <v>49629.601999999999</v>
      </c>
      <c r="M73" s="27">
        <f t="shared" si="3"/>
        <v>36779.665000000001</v>
      </c>
      <c r="N73" s="27">
        <f>SUM(N6:N67)</f>
        <v>1935680.8173500001</v>
      </c>
    </row>
    <row r="74" spans="1:21">
      <c r="A74" s="85" t="s">
        <v>101</v>
      </c>
      <c r="B74" s="27">
        <f t="shared" ref="B74:N74" si="4">AVERAGE(B6:B67)</f>
        <v>496.31284677419359</v>
      </c>
      <c r="C74" s="27">
        <f t="shared" si="4"/>
        <v>444.8987822580645</v>
      </c>
      <c r="D74" s="27">
        <f t="shared" si="4"/>
        <v>728.55204032258075</v>
      </c>
      <c r="E74" s="27">
        <f t="shared" si="4"/>
        <v>1071.4197741935486</v>
      </c>
      <c r="F74" s="27">
        <f t="shared" si="4"/>
        <v>2024.9622258064514</v>
      </c>
      <c r="G74" s="27">
        <f t="shared" si="4"/>
        <v>2620.8648933064519</v>
      </c>
      <c r="H74" s="27">
        <f t="shared" si="4"/>
        <v>9167.1449041935484</v>
      </c>
      <c r="I74" s="27">
        <f t="shared" si="4"/>
        <v>8716.0250739516141</v>
      </c>
      <c r="J74" s="27">
        <f t="shared" si="4"/>
        <v>2861.4973870967747</v>
      </c>
      <c r="K74" s="27">
        <f t="shared" si="4"/>
        <v>1695.2825616129035</v>
      </c>
      <c r="L74" s="27">
        <f t="shared" si="4"/>
        <v>800.47745161290322</v>
      </c>
      <c r="M74" s="27">
        <f t="shared" si="4"/>
        <v>593.22040322580642</v>
      </c>
      <c r="N74" s="27">
        <f t="shared" si="4"/>
        <v>31220.658344354841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71"/>
  <sheetViews>
    <sheetView topLeftCell="A61" workbookViewId="0">
      <selection activeCell="A70" sqref="A70:XFD70"/>
    </sheetView>
  </sheetViews>
  <sheetFormatPr defaultRowHeight="13.2"/>
  <sheetData>
    <row r="1" spans="1:14">
      <c r="A1" s="33" t="s">
        <v>102</v>
      </c>
      <c r="B1" s="33" t="s">
        <v>103</v>
      </c>
      <c r="C1" s="33"/>
      <c r="D1" s="33"/>
      <c r="E1" s="33"/>
      <c r="F1" s="33"/>
      <c r="G1" s="33"/>
      <c r="H1" s="33"/>
      <c r="I1" s="33"/>
      <c r="J1" s="33"/>
      <c r="K1" s="34"/>
      <c r="L1" s="33"/>
      <c r="M1" s="33"/>
      <c r="N1" s="33"/>
    </row>
    <row r="2" spans="1:14">
      <c r="A2" s="116" t="s">
        <v>104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</row>
    <row r="3" spans="1:14">
      <c r="A3" s="116" t="s">
        <v>105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</row>
    <row r="4" spans="1:14">
      <c r="A4" s="116" t="s">
        <v>106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</row>
    <row r="5" spans="1:14">
      <c r="A5" s="34" t="s">
        <v>107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 t="s">
        <v>108</v>
      </c>
    </row>
    <row r="6" spans="1:14">
      <c r="A6" s="35" t="s">
        <v>0</v>
      </c>
      <c r="B6" s="36" t="s">
        <v>7</v>
      </c>
      <c r="C6" s="36" t="s">
        <v>8</v>
      </c>
      <c r="D6" s="36" t="s">
        <v>9</v>
      </c>
      <c r="E6" s="36" t="s">
        <v>10</v>
      </c>
      <c r="F6" s="36" t="s">
        <v>11</v>
      </c>
      <c r="G6" s="36" t="s">
        <v>12</v>
      </c>
      <c r="H6" s="36" t="s">
        <v>13</v>
      </c>
      <c r="I6" s="36" t="s">
        <v>14</v>
      </c>
      <c r="J6" s="36" t="s">
        <v>15</v>
      </c>
      <c r="K6" s="36" t="s">
        <v>16</v>
      </c>
      <c r="L6" s="36" t="s">
        <v>17</v>
      </c>
      <c r="M6" s="36" t="s">
        <v>18</v>
      </c>
      <c r="N6" s="36" t="s">
        <v>99</v>
      </c>
    </row>
    <row r="7" spans="1:14">
      <c r="A7">
        <v>1958</v>
      </c>
      <c r="B7" s="9">
        <v>0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1035</v>
      </c>
      <c r="I7" s="9">
        <v>819</v>
      </c>
      <c r="J7" s="9">
        <v>3432</v>
      </c>
      <c r="K7" s="9">
        <v>401</v>
      </c>
      <c r="L7" s="9">
        <v>0</v>
      </c>
      <c r="M7" s="9">
        <v>0</v>
      </c>
      <c r="N7" s="9">
        <v>5687</v>
      </c>
    </row>
    <row r="8" spans="1:14">
      <c r="A8">
        <v>1959</v>
      </c>
      <c r="B8" s="9">
        <v>0</v>
      </c>
      <c r="C8" s="9">
        <v>0</v>
      </c>
      <c r="D8" s="9">
        <v>0</v>
      </c>
      <c r="E8" s="9">
        <v>0</v>
      </c>
      <c r="F8" s="9">
        <v>865</v>
      </c>
      <c r="G8" s="9">
        <v>1228</v>
      </c>
      <c r="H8" s="9">
        <v>9721</v>
      </c>
      <c r="I8" s="9">
        <v>13005</v>
      </c>
      <c r="J8" s="9">
        <v>1569</v>
      </c>
      <c r="K8" s="9">
        <v>0</v>
      </c>
      <c r="L8" s="9">
        <v>0</v>
      </c>
      <c r="M8" s="9">
        <v>0</v>
      </c>
      <c r="N8" s="9">
        <v>26388</v>
      </c>
    </row>
    <row r="9" spans="1:14">
      <c r="A9">
        <v>1960</v>
      </c>
      <c r="B9" s="9">
        <v>0</v>
      </c>
      <c r="C9" s="9">
        <v>0</v>
      </c>
      <c r="D9" s="9">
        <v>0</v>
      </c>
      <c r="E9" s="9">
        <v>0</v>
      </c>
      <c r="F9" s="9">
        <v>0</v>
      </c>
      <c r="G9" s="9">
        <v>966</v>
      </c>
      <c r="H9" s="9">
        <v>13313</v>
      </c>
      <c r="I9" s="9">
        <v>11171</v>
      </c>
      <c r="J9" s="9">
        <v>1079</v>
      </c>
      <c r="K9" s="9">
        <v>0</v>
      </c>
      <c r="L9" s="9">
        <v>0</v>
      </c>
      <c r="M9" s="9">
        <v>0</v>
      </c>
      <c r="N9" s="9">
        <v>26529</v>
      </c>
    </row>
    <row r="10" spans="1:14">
      <c r="A10">
        <v>1961</v>
      </c>
      <c r="B10" s="9">
        <v>0</v>
      </c>
      <c r="C10" s="9">
        <v>0</v>
      </c>
      <c r="D10" s="9">
        <v>0</v>
      </c>
      <c r="E10" s="9">
        <v>0</v>
      </c>
      <c r="F10" s="9">
        <v>0</v>
      </c>
      <c r="G10" s="9">
        <v>938</v>
      </c>
      <c r="H10" s="9">
        <v>11169</v>
      </c>
      <c r="I10" s="9">
        <v>12454</v>
      </c>
      <c r="J10" s="9">
        <v>3542</v>
      </c>
      <c r="K10" s="9">
        <v>0</v>
      </c>
      <c r="L10" s="9">
        <v>0</v>
      </c>
      <c r="M10" s="9">
        <v>0</v>
      </c>
      <c r="N10" s="9">
        <v>28103</v>
      </c>
    </row>
    <row r="11" spans="1:14">
      <c r="A11">
        <v>1962</v>
      </c>
      <c r="B11" s="9">
        <v>0</v>
      </c>
      <c r="C11" s="9">
        <v>0</v>
      </c>
      <c r="D11" s="9">
        <v>0</v>
      </c>
      <c r="E11" s="9">
        <v>0</v>
      </c>
      <c r="F11" s="9">
        <v>538</v>
      </c>
      <c r="G11" s="9">
        <v>1252</v>
      </c>
      <c r="H11" s="9">
        <v>9124</v>
      </c>
      <c r="I11" s="9">
        <v>14366</v>
      </c>
      <c r="J11" s="9">
        <v>936</v>
      </c>
      <c r="K11" s="9">
        <v>0</v>
      </c>
      <c r="L11" s="9">
        <v>0</v>
      </c>
      <c r="M11" s="9">
        <v>0</v>
      </c>
      <c r="N11" s="9">
        <v>26216</v>
      </c>
    </row>
    <row r="12" spans="1:14">
      <c r="A12">
        <v>1963</v>
      </c>
      <c r="B12" s="9">
        <v>0</v>
      </c>
      <c r="C12" s="9">
        <v>0</v>
      </c>
      <c r="D12" s="9">
        <v>0</v>
      </c>
      <c r="E12" s="9">
        <v>258</v>
      </c>
      <c r="F12" s="9">
        <v>908</v>
      </c>
      <c r="G12" s="9">
        <v>2902</v>
      </c>
      <c r="H12" s="9">
        <v>22413</v>
      </c>
      <c r="I12" s="9">
        <v>12908</v>
      </c>
      <c r="J12" s="9">
        <v>933</v>
      </c>
      <c r="K12" s="9">
        <v>0</v>
      </c>
      <c r="L12" s="9">
        <v>0</v>
      </c>
      <c r="M12" s="9">
        <v>0</v>
      </c>
      <c r="N12" s="9">
        <v>40322</v>
      </c>
    </row>
    <row r="13" spans="1:14">
      <c r="A13">
        <v>1964</v>
      </c>
      <c r="B13" s="9">
        <v>0</v>
      </c>
      <c r="C13" s="9">
        <v>0</v>
      </c>
      <c r="D13" s="9">
        <v>0</v>
      </c>
      <c r="E13" s="9">
        <v>0</v>
      </c>
      <c r="F13" s="9">
        <v>1482</v>
      </c>
      <c r="G13" s="9">
        <v>3761</v>
      </c>
      <c r="H13" s="9">
        <v>25398</v>
      </c>
      <c r="I13" s="9">
        <v>13591</v>
      </c>
      <c r="J13" s="9">
        <v>1018</v>
      </c>
      <c r="K13" s="9">
        <v>0</v>
      </c>
      <c r="L13" s="9">
        <v>0</v>
      </c>
      <c r="M13" s="9">
        <v>0</v>
      </c>
      <c r="N13" s="9">
        <v>45250</v>
      </c>
    </row>
    <row r="14" spans="1:14">
      <c r="A14">
        <v>1965</v>
      </c>
      <c r="B14" s="9">
        <v>0</v>
      </c>
      <c r="C14" s="9">
        <v>0</v>
      </c>
      <c r="D14" s="9">
        <v>0</v>
      </c>
      <c r="E14" s="9">
        <v>0</v>
      </c>
      <c r="F14" s="9">
        <v>0</v>
      </c>
      <c r="G14" s="9">
        <v>2321</v>
      </c>
      <c r="H14" s="9">
        <v>19999</v>
      </c>
      <c r="I14" s="9">
        <v>16724</v>
      </c>
      <c r="J14" s="9">
        <v>502</v>
      </c>
      <c r="K14" s="9">
        <v>0</v>
      </c>
      <c r="L14" s="9">
        <v>0</v>
      </c>
      <c r="M14" s="9">
        <v>0</v>
      </c>
      <c r="N14" s="9">
        <v>39546</v>
      </c>
    </row>
    <row r="15" spans="1:14">
      <c r="A15">
        <v>1966</v>
      </c>
      <c r="B15" s="9">
        <v>0</v>
      </c>
      <c r="C15" s="9">
        <v>0</v>
      </c>
      <c r="D15" s="9">
        <v>0</v>
      </c>
      <c r="E15" s="9">
        <v>0</v>
      </c>
      <c r="F15" s="9">
        <v>4506</v>
      </c>
      <c r="G15" s="9">
        <v>4748</v>
      </c>
      <c r="H15" s="9">
        <v>22637</v>
      </c>
      <c r="I15" s="9">
        <v>10574</v>
      </c>
      <c r="J15" s="9">
        <v>1099</v>
      </c>
      <c r="K15" s="9">
        <v>0</v>
      </c>
      <c r="L15" s="9">
        <v>0</v>
      </c>
      <c r="M15" s="9">
        <v>0</v>
      </c>
      <c r="N15" s="9">
        <v>43564</v>
      </c>
    </row>
    <row r="16" spans="1:14">
      <c r="A16">
        <v>1967</v>
      </c>
      <c r="B16" s="9">
        <v>0</v>
      </c>
      <c r="C16" s="9">
        <v>0</v>
      </c>
      <c r="D16" s="9">
        <v>0</v>
      </c>
      <c r="E16" s="9">
        <v>0</v>
      </c>
      <c r="F16" s="9">
        <v>714</v>
      </c>
      <c r="G16" s="9">
        <v>1029</v>
      </c>
      <c r="H16" s="9">
        <v>14067</v>
      </c>
      <c r="I16" s="9">
        <v>25160</v>
      </c>
      <c r="J16" s="9">
        <v>1484</v>
      </c>
      <c r="K16" s="9">
        <v>0</v>
      </c>
      <c r="L16" s="9">
        <v>0</v>
      </c>
      <c r="M16" s="9">
        <v>0</v>
      </c>
      <c r="N16" s="9">
        <v>42454</v>
      </c>
    </row>
    <row r="17" spans="1:14">
      <c r="A17">
        <v>1968</v>
      </c>
      <c r="B17" s="9">
        <v>0</v>
      </c>
      <c r="C17" s="9">
        <v>0</v>
      </c>
      <c r="D17" s="9">
        <v>0</v>
      </c>
      <c r="E17" s="9">
        <v>0</v>
      </c>
      <c r="F17" s="9">
        <v>0</v>
      </c>
      <c r="G17" s="9">
        <v>1440</v>
      </c>
      <c r="H17" s="9">
        <v>27884</v>
      </c>
      <c r="I17" s="9">
        <v>5732</v>
      </c>
      <c r="J17" s="9">
        <v>0</v>
      </c>
      <c r="K17" s="9">
        <v>0</v>
      </c>
      <c r="L17" s="9">
        <v>0</v>
      </c>
      <c r="M17" s="9">
        <v>0</v>
      </c>
      <c r="N17" s="9">
        <v>35056</v>
      </c>
    </row>
    <row r="18" spans="1:14">
      <c r="A18">
        <v>1969</v>
      </c>
      <c r="B18" s="9">
        <v>0</v>
      </c>
      <c r="C18" s="9">
        <v>0</v>
      </c>
      <c r="D18" s="9">
        <v>0</v>
      </c>
      <c r="E18" s="9">
        <v>0</v>
      </c>
      <c r="F18" s="9">
        <v>0</v>
      </c>
      <c r="G18" s="9">
        <v>1686</v>
      </c>
      <c r="H18" s="9">
        <v>11722</v>
      </c>
      <c r="I18" s="9">
        <v>19964</v>
      </c>
      <c r="J18" s="9">
        <v>664</v>
      </c>
      <c r="K18" s="9">
        <v>0</v>
      </c>
      <c r="L18" s="9">
        <v>0</v>
      </c>
      <c r="M18" s="9">
        <v>0</v>
      </c>
      <c r="N18" s="9">
        <v>34036</v>
      </c>
    </row>
    <row r="19" spans="1:14">
      <c r="A19">
        <v>1970</v>
      </c>
      <c r="B19" s="9">
        <v>0</v>
      </c>
      <c r="C19" s="9">
        <v>0</v>
      </c>
      <c r="D19" s="9">
        <v>0</v>
      </c>
      <c r="E19" s="9">
        <v>0</v>
      </c>
      <c r="F19" s="9">
        <v>0</v>
      </c>
      <c r="G19" s="9">
        <v>2682</v>
      </c>
      <c r="H19" s="9">
        <v>32543</v>
      </c>
      <c r="I19" s="9">
        <v>18859</v>
      </c>
      <c r="J19" s="9">
        <v>357</v>
      </c>
      <c r="K19" s="9">
        <v>0</v>
      </c>
      <c r="L19" s="9">
        <v>0</v>
      </c>
      <c r="M19" s="9">
        <v>0</v>
      </c>
      <c r="N19" s="9">
        <v>54441</v>
      </c>
    </row>
    <row r="20" spans="1:14">
      <c r="A20">
        <v>1971</v>
      </c>
      <c r="B20" s="9">
        <v>0</v>
      </c>
      <c r="C20" s="9">
        <v>0</v>
      </c>
      <c r="D20" s="9">
        <v>0</v>
      </c>
      <c r="E20" s="9">
        <v>0</v>
      </c>
      <c r="F20" s="9">
        <v>0</v>
      </c>
      <c r="G20" s="9">
        <v>4832</v>
      </c>
      <c r="H20" s="9">
        <v>20624</v>
      </c>
      <c r="I20" s="9">
        <v>19543</v>
      </c>
      <c r="J20" s="9">
        <v>2202</v>
      </c>
      <c r="K20" s="9">
        <v>0</v>
      </c>
      <c r="L20" s="9">
        <v>0</v>
      </c>
      <c r="M20" s="9">
        <v>0</v>
      </c>
      <c r="N20" s="9">
        <v>47201</v>
      </c>
    </row>
    <row r="21" spans="1:14">
      <c r="A21">
        <v>1972</v>
      </c>
      <c r="B21" s="9">
        <v>0</v>
      </c>
      <c r="C21" s="9">
        <v>0</v>
      </c>
      <c r="D21" s="9">
        <v>0</v>
      </c>
      <c r="E21" s="9">
        <v>0</v>
      </c>
      <c r="F21" s="9">
        <v>442</v>
      </c>
      <c r="G21" s="9">
        <v>2662</v>
      </c>
      <c r="H21" s="9">
        <v>18039</v>
      </c>
      <c r="I21" s="9">
        <v>11171</v>
      </c>
      <c r="J21" s="9">
        <v>44</v>
      </c>
      <c r="K21" s="9">
        <v>0</v>
      </c>
      <c r="L21" s="9">
        <v>0</v>
      </c>
      <c r="M21" s="9">
        <v>0</v>
      </c>
      <c r="N21" s="9">
        <v>32358</v>
      </c>
    </row>
    <row r="22" spans="1:14">
      <c r="A22">
        <v>1973</v>
      </c>
      <c r="B22" s="9">
        <v>0</v>
      </c>
      <c r="C22" s="9">
        <v>0</v>
      </c>
      <c r="D22" s="9">
        <v>0</v>
      </c>
      <c r="E22" s="9">
        <v>0</v>
      </c>
      <c r="F22" s="9">
        <v>365</v>
      </c>
      <c r="G22" s="9">
        <v>4197</v>
      </c>
      <c r="H22" s="9">
        <v>12843</v>
      </c>
      <c r="I22" s="9">
        <v>11960</v>
      </c>
      <c r="J22" s="9">
        <v>841</v>
      </c>
      <c r="K22" s="9">
        <v>0</v>
      </c>
      <c r="L22" s="9">
        <v>0</v>
      </c>
      <c r="M22" s="9">
        <v>0</v>
      </c>
      <c r="N22" s="9">
        <v>30206</v>
      </c>
    </row>
    <row r="23" spans="1:14">
      <c r="A23">
        <v>1974</v>
      </c>
      <c r="B23" s="9">
        <v>0</v>
      </c>
      <c r="C23" s="9">
        <v>0</v>
      </c>
      <c r="D23" s="9">
        <v>0</v>
      </c>
      <c r="E23" s="9">
        <v>0</v>
      </c>
      <c r="F23" s="9">
        <v>357</v>
      </c>
      <c r="G23" s="9">
        <v>7135</v>
      </c>
      <c r="H23" s="9">
        <v>34429</v>
      </c>
      <c r="I23" s="9">
        <v>8672</v>
      </c>
      <c r="J23" s="9">
        <v>879</v>
      </c>
      <c r="K23" s="9">
        <v>0</v>
      </c>
      <c r="L23" s="9">
        <v>0</v>
      </c>
      <c r="M23" s="9">
        <v>0</v>
      </c>
      <c r="N23" s="9">
        <v>51472</v>
      </c>
    </row>
    <row r="24" spans="1:14">
      <c r="A24">
        <v>1975</v>
      </c>
      <c r="B24" s="9">
        <v>0</v>
      </c>
      <c r="C24" s="9">
        <v>0</v>
      </c>
      <c r="D24" s="9">
        <v>0</v>
      </c>
      <c r="E24" s="9">
        <v>184</v>
      </c>
      <c r="F24" s="9">
        <v>1978</v>
      </c>
      <c r="G24" s="9">
        <v>2227</v>
      </c>
      <c r="H24" s="9">
        <v>28948</v>
      </c>
      <c r="I24" s="9">
        <v>17433</v>
      </c>
      <c r="J24" s="9">
        <v>885</v>
      </c>
      <c r="K24" s="9">
        <v>0</v>
      </c>
      <c r="L24" s="9">
        <v>0</v>
      </c>
      <c r="M24" s="9">
        <v>0</v>
      </c>
      <c r="N24" s="9">
        <v>51655</v>
      </c>
    </row>
    <row r="25" spans="1:14">
      <c r="A25">
        <v>1976</v>
      </c>
      <c r="B25" s="9">
        <v>0</v>
      </c>
      <c r="C25" s="9">
        <v>0</v>
      </c>
      <c r="D25" s="9">
        <v>0</v>
      </c>
      <c r="E25" s="9">
        <v>0</v>
      </c>
      <c r="F25" s="9">
        <v>1482</v>
      </c>
      <c r="G25" s="9">
        <v>7870</v>
      </c>
      <c r="H25" s="9">
        <v>33092</v>
      </c>
      <c r="I25" s="9">
        <v>26075</v>
      </c>
      <c r="J25" s="9">
        <v>3273</v>
      </c>
      <c r="K25" s="9">
        <v>0</v>
      </c>
      <c r="L25" s="9">
        <v>0</v>
      </c>
      <c r="M25" s="9">
        <v>0</v>
      </c>
      <c r="N25" s="9">
        <v>71792</v>
      </c>
    </row>
    <row r="26" spans="1:14">
      <c r="A26">
        <v>1977</v>
      </c>
      <c r="B26" s="9">
        <v>0</v>
      </c>
      <c r="C26" s="9">
        <v>0</v>
      </c>
      <c r="D26" s="9">
        <v>0</v>
      </c>
      <c r="E26" s="9">
        <v>0</v>
      </c>
      <c r="F26" s="9">
        <v>1095</v>
      </c>
      <c r="G26" s="9">
        <v>3786</v>
      </c>
      <c r="H26" s="9">
        <v>29457</v>
      </c>
      <c r="I26" s="9">
        <v>5230</v>
      </c>
      <c r="J26" s="9">
        <v>0</v>
      </c>
      <c r="K26" s="9">
        <v>0</v>
      </c>
      <c r="L26" s="9">
        <v>0</v>
      </c>
      <c r="M26" s="9">
        <v>0</v>
      </c>
      <c r="N26" s="9">
        <v>39568</v>
      </c>
    </row>
    <row r="27" spans="1:14">
      <c r="A27">
        <v>1978</v>
      </c>
      <c r="B27" s="9">
        <v>0</v>
      </c>
      <c r="C27" s="9">
        <v>0</v>
      </c>
      <c r="D27" s="9">
        <v>0</v>
      </c>
      <c r="E27" s="9">
        <v>415</v>
      </c>
      <c r="F27" s="9">
        <v>1238</v>
      </c>
      <c r="G27" s="9">
        <v>3717</v>
      </c>
      <c r="H27" s="9">
        <v>19632</v>
      </c>
      <c r="I27" s="9">
        <v>16431</v>
      </c>
      <c r="J27" s="9">
        <v>3864</v>
      </c>
      <c r="K27" s="9">
        <v>0</v>
      </c>
      <c r="L27" s="9">
        <v>0</v>
      </c>
      <c r="M27" s="9">
        <v>0</v>
      </c>
      <c r="N27" s="9">
        <v>45297</v>
      </c>
    </row>
    <row r="28" spans="1:14">
      <c r="A28">
        <v>1979</v>
      </c>
      <c r="B28" s="9">
        <v>0</v>
      </c>
      <c r="C28" s="9">
        <v>0</v>
      </c>
      <c r="D28" s="9">
        <v>0</v>
      </c>
      <c r="E28" s="9">
        <v>0</v>
      </c>
      <c r="F28" s="9">
        <v>534</v>
      </c>
      <c r="G28" s="9">
        <v>1458</v>
      </c>
      <c r="H28" s="9">
        <v>9679</v>
      </c>
      <c r="I28" s="9">
        <v>22245</v>
      </c>
      <c r="J28" s="9">
        <v>2374</v>
      </c>
      <c r="K28" s="9">
        <v>0</v>
      </c>
      <c r="L28" s="9">
        <v>0</v>
      </c>
      <c r="M28" s="9">
        <v>0</v>
      </c>
      <c r="N28" s="9">
        <v>36290</v>
      </c>
    </row>
    <row r="29" spans="1:14">
      <c r="A29">
        <v>1980</v>
      </c>
      <c r="B29" s="9">
        <v>0</v>
      </c>
      <c r="C29" s="9">
        <v>0</v>
      </c>
      <c r="D29" s="9">
        <v>0</v>
      </c>
      <c r="E29" s="9">
        <v>0</v>
      </c>
      <c r="F29" s="9">
        <v>1384</v>
      </c>
      <c r="G29" s="9">
        <v>4138</v>
      </c>
      <c r="H29" s="9">
        <v>34707</v>
      </c>
      <c r="I29" s="9">
        <v>14479</v>
      </c>
      <c r="J29" s="9">
        <v>1315</v>
      </c>
      <c r="K29" s="9">
        <v>0</v>
      </c>
      <c r="L29" s="9">
        <v>0</v>
      </c>
      <c r="M29" s="9">
        <v>0</v>
      </c>
      <c r="N29" s="9">
        <v>56023</v>
      </c>
    </row>
    <row r="30" spans="1:14">
      <c r="A30">
        <v>1981</v>
      </c>
      <c r="B30" s="9">
        <v>0</v>
      </c>
      <c r="C30" s="9">
        <v>0</v>
      </c>
      <c r="D30" s="9">
        <v>0</v>
      </c>
      <c r="E30" s="9">
        <v>0</v>
      </c>
      <c r="F30" s="9">
        <v>1523</v>
      </c>
      <c r="G30" s="9">
        <v>7884</v>
      </c>
      <c r="H30" s="9">
        <v>16697</v>
      </c>
      <c r="I30" s="9">
        <v>6573</v>
      </c>
      <c r="J30" s="9">
        <v>1387</v>
      </c>
      <c r="K30" s="9">
        <v>0</v>
      </c>
      <c r="L30" s="9">
        <v>0</v>
      </c>
      <c r="M30" s="9">
        <v>0</v>
      </c>
      <c r="N30" s="9">
        <v>34064</v>
      </c>
    </row>
    <row r="31" spans="1:14">
      <c r="A31">
        <v>1982</v>
      </c>
      <c r="B31" s="9">
        <v>0</v>
      </c>
      <c r="C31" s="9">
        <v>0</v>
      </c>
      <c r="D31" s="9">
        <v>0</v>
      </c>
      <c r="E31" s="9">
        <v>0</v>
      </c>
      <c r="F31" s="9">
        <v>599</v>
      </c>
      <c r="G31" s="9">
        <v>1932</v>
      </c>
      <c r="H31" s="9">
        <v>17437</v>
      </c>
      <c r="I31" s="9">
        <v>17958</v>
      </c>
      <c r="J31" s="9">
        <v>1117</v>
      </c>
      <c r="K31" s="9">
        <v>0</v>
      </c>
      <c r="L31" s="9">
        <v>0</v>
      </c>
      <c r="M31" s="9">
        <v>0</v>
      </c>
      <c r="N31" s="9">
        <v>39043</v>
      </c>
    </row>
    <row r="32" spans="1:14">
      <c r="A32">
        <v>1983</v>
      </c>
      <c r="B32" s="9">
        <v>0</v>
      </c>
      <c r="C32" s="9">
        <v>0</v>
      </c>
      <c r="D32" s="9">
        <v>0</v>
      </c>
      <c r="E32" s="9">
        <v>0</v>
      </c>
      <c r="F32" s="9">
        <v>0</v>
      </c>
      <c r="G32" s="9">
        <v>2731</v>
      </c>
      <c r="H32" s="9">
        <v>30434</v>
      </c>
      <c r="I32" s="9">
        <v>21899</v>
      </c>
      <c r="J32" s="9">
        <v>3626</v>
      </c>
      <c r="K32" s="9">
        <v>0</v>
      </c>
      <c r="L32" s="9">
        <v>0</v>
      </c>
      <c r="M32" s="9">
        <v>0</v>
      </c>
      <c r="N32" s="9">
        <v>58690</v>
      </c>
    </row>
    <row r="33" spans="1:14">
      <c r="A33">
        <v>1984</v>
      </c>
      <c r="B33" s="9">
        <v>0</v>
      </c>
      <c r="C33" s="9">
        <v>0</v>
      </c>
      <c r="D33" s="9">
        <v>0</v>
      </c>
      <c r="E33" s="9">
        <v>0</v>
      </c>
      <c r="F33" s="9">
        <v>0</v>
      </c>
      <c r="G33" s="9">
        <v>1616</v>
      </c>
      <c r="H33" s="9">
        <v>29445</v>
      </c>
      <c r="I33" s="9">
        <v>20646</v>
      </c>
      <c r="J33" s="9">
        <v>3390</v>
      </c>
      <c r="K33" s="9">
        <v>0</v>
      </c>
      <c r="L33" s="9">
        <v>0</v>
      </c>
      <c r="M33" s="9">
        <v>0</v>
      </c>
      <c r="N33" s="9">
        <v>55097</v>
      </c>
    </row>
    <row r="34" spans="1:14">
      <c r="A34">
        <v>1985</v>
      </c>
      <c r="B34" s="9">
        <v>0</v>
      </c>
      <c r="C34" s="9">
        <v>0</v>
      </c>
      <c r="D34" s="9">
        <v>0</v>
      </c>
      <c r="E34" s="9">
        <v>0</v>
      </c>
      <c r="F34" s="9">
        <v>760</v>
      </c>
      <c r="G34" s="9">
        <v>5613</v>
      </c>
      <c r="H34" s="9">
        <v>24264</v>
      </c>
      <c r="I34" s="9">
        <v>4310</v>
      </c>
      <c r="J34" s="9">
        <v>2255</v>
      </c>
      <c r="K34" s="9">
        <v>0</v>
      </c>
      <c r="L34" s="9">
        <v>0</v>
      </c>
      <c r="M34" s="9">
        <v>0</v>
      </c>
      <c r="N34" s="9">
        <v>37202</v>
      </c>
    </row>
    <row r="35" spans="1:14">
      <c r="A35">
        <v>1986</v>
      </c>
      <c r="B35" s="9">
        <v>0</v>
      </c>
      <c r="C35" s="9">
        <v>0</v>
      </c>
      <c r="D35" s="9">
        <v>0</v>
      </c>
      <c r="E35" s="9">
        <v>0</v>
      </c>
      <c r="F35" s="9">
        <v>0</v>
      </c>
      <c r="G35" s="9">
        <v>13163</v>
      </c>
      <c r="H35" s="9">
        <v>21426</v>
      </c>
      <c r="I35" s="9">
        <v>7541</v>
      </c>
      <c r="J35" s="9">
        <v>79</v>
      </c>
      <c r="K35" s="9">
        <v>0</v>
      </c>
      <c r="L35" s="9">
        <v>0</v>
      </c>
      <c r="M35" s="9">
        <v>0</v>
      </c>
      <c r="N35" s="9">
        <v>42209</v>
      </c>
    </row>
    <row r="36" spans="1:14">
      <c r="A36">
        <v>1987</v>
      </c>
      <c r="B36" s="9">
        <v>0</v>
      </c>
      <c r="C36" s="9">
        <v>0</v>
      </c>
      <c r="D36" s="9">
        <v>0</v>
      </c>
      <c r="E36" s="9">
        <v>428</v>
      </c>
      <c r="F36" s="9">
        <v>161</v>
      </c>
      <c r="G36" s="9">
        <v>7272</v>
      </c>
      <c r="H36" s="9">
        <v>23798</v>
      </c>
      <c r="I36" s="9">
        <v>11044</v>
      </c>
      <c r="J36" s="9">
        <v>914</v>
      </c>
      <c r="K36" s="9">
        <v>0</v>
      </c>
      <c r="L36" s="9">
        <v>0</v>
      </c>
      <c r="M36" s="9">
        <v>0</v>
      </c>
      <c r="N36" s="9">
        <v>43617</v>
      </c>
    </row>
    <row r="37" spans="1:14">
      <c r="A37">
        <v>1988</v>
      </c>
      <c r="B37" s="9">
        <v>0</v>
      </c>
      <c r="C37" s="9">
        <v>0</v>
      </c>
      <c r="D37" s="9">
        <v>0</v>
      </c>
      <c r="E37" s="9">
        <v>0</v>
      </c>
      <c r="F37" s="9">
        <v>480</v>
      </c>
      <c r="G37" s="9">
        <v>18492</v>
      </c>
      <c r="H37" s="9">
        <v>18068</v>
      </c>
      <c r="I37" s="9">
        <v>17651</v>
      </c>
      <c r="J37" s="9">
        <v>2555</v>
      </c>
      <c r="K37" s="9">
        <v>0</v>
      </c>
      <c r="L37" s="9">
        <v>0</v>
      </c>
      <c r="M37" s="9">
        <v>0</v>
      </c>
      <c r="N37" s="9">
        <v>57246</v>
      </c>
    </row>
    <row r="38" spans="1:14">
      <c r="A38">
        <v>1989</v>
      </c>
      <c r="B38" s="9">
        <v>0</v>
      </c>
      <c r="C38" s="9">
        <v>0</v>
      </c>
      <c r="D38" s="9">
        <v>0</v>
      </c>
      <c r="E38" s="9">
        <v>0</v>
      </c>
      <c r="F38" s="9">
        <v>0</v>
      </c>
      <c r="G38" s="9">
        <v>4908</v>
      </c>
      <c r="H38" s="9">
        <v>23098</v>
      </c>
      <c r="I38" s="9">
        <v>15491</v>
      </c>
      <c r="J38" s="9">
        <v>208</v>
      </c>
      <c r="K38" s="9">
        <v>0</v>
      </c>
      <c r="L38" s="9">
        <v>0</v>
      </c>
      <c r="M38" s="9">
        <v>0</v>
      </c>
      <c r="N38" s="9">
        <v>43705</v>
      </c>
    </row>
    <row r="39" spans="1:14">
      <c r="A39">
        <v>1990</v>
      </c>
      <c r="B39" s="9">
        <v>0</v>
      </c>
      <c r="C39" s="9">
        <v>0</v>
      </c>
      <c r="D39" s="9">
        <v>0</v>
      </c>
      <c r="E39" s="9">
        <v>0</v>
      </c>
      <c r="F39" s="9">
        <v>611</v>
      </c>
      <c r="G39" s="9">
        <v>4388</v>
      </c>
      <c r="H39" s="9">
        <v>24044</v>
      </c>
      <c r="I39" s="9">
        <v>20004</v>
      </c>
      <c r="J39" s="9">
        <v>6117</v>
      </c>
      <c r="K39" s="9">
        <v>0</v>
      </c>
      <c r="L39" s="9">
        <v>0</v>
      </c>
      <c r="M39" s="9">
        <v>0</v>
      </c>
      <c r="N39" s="9">
        <v>55164</v>
      </c>
    </row>
    <row r="40" spans="1:14">
      <c r="A40">
        <v>1991</v>
      </c>
      <c r="B40" s="9">
        <v>0</v>
      </c>
      <c r="C40" s="9">
        <v>0</v>
      </c>
      <c r="D40" s="9">
        <v>0</v>
      </c>
      <c r="E40" s="9">
        <v>0</v>
      </c>
      <c r="F40" s="9">
        <v>867</v>
      </c>
      <c r="G40" s="9">
        <v>10772</v>
      </c>
      <c r="H40" s="9">
        <v>22348</v>
      </c>
      <c r="I40" s="9">
        <v>9273</v>
      </c>
      <c r="J40" s="9">
        <v>0</v>
      </c>
      <c r="K40" s="9">
        <v>0</v>
      </c>
      <c r="L40" s="9">
        <v>0</v>
      </c>
      <c r="M40" s="9">
        <v>0</v>
      </c>
      <c r="N40" s="9">
        <v>43260</v>
      </c>
    </row>
    <row r="41" spans="1:14">
      <c r="A41">
        <v>1992</v>
      </c>
      <c r="B41" s="9">
        <v>0</v>
      </c>
      <c r="C41" s="9">
        <v>0</v>
      </c>
      <c r="D41" s="9">
        <v>0</v>
      </c>
      <c r="E41" s="9">
        <v>0</v>
      </c>
      <c r="F41" s="9">
        <v>0</v>
      </c>
      <c r="G41" s="9">
        <v>3297</v>
      </c>
      <c r="H41" s="9">
        <v>5401</v>
      </c>
      <c r="I41" s="9">
        <v>3332</v>
      </c>
      <c r="J41" s="9">
        <v>44</v>
      </c>
      <c r="K41" s="9">
        <v>0</v>
      </c>
      <c r="L41" s="9">
        <v>0</v>
      </c>
      <c r="M41" s="9">
        <v>0</v>
      </c>
      <c r="N41" s="9">
        <v>12074</v>
      </c>
    </row>
    <row r="42" spans="1:14">
      <c r="A42">
        <v>1993</v>
      </c>
      <c r="B42" s="9">
        <v>0</v>
      </c>
      <c r="C42" s="9">
        <v>0</v>
      </c>
      <c r="D42" s="9">
        <v>0</v>
      </c>
      <c r="E42" s="9">
        <v>0</v>
      </c>
      <c r="F42" s="9">
        <v>726</v>
      </c>
      <c r="G42" s="9">
        <v>2823</v>
      </c>
      <c r="H42" s="9">
        <v>5881</v>
      </c>
      <c r="I42" s="9">
        <v>7541</v>
      </c>
      <c r="J42" s="9">
        <v>446</v>
      </c>
      <c r="K42" s="9">
        <v>0</v>
      </c>
      <c r="L42" s="9">
        <v>0</v>
      </c>
      <c r="M42" s="9">
        <v>0</v>
      </c>
      <c r="N42" s="9">
        <v>17417</v>
      </c>
    </row>
    <row r="43" spans="1:14">
      <c r="A43">
        <v>1994</v>
      </c>
      <c r="B43" s="9">
        <v>0</v>
      </c>
      <c r="C43" s="9">
        <v>0</v>
      </c>
      <c r="D43" s="9">
        <v>0</v>
      </c>
      <c r="E43" s="9">
        <v>0</v>
      </c>
      <c r="F43" s="9">
        <v>1254</v>
      </c>
      <c r="G43" s="9">
        <v>7744</v>
      </c>
      <c r="H43" s="9">
        <v>11560</v>
      </c>
      <c r="I43" s="9">
        <v>19706</v>
      </c>
      <c r="J43" s="9">
        <v>97</v>
      </c>
      <c r="K43" s="9">
        <v>0</v>
      </c>
      <c r="L43" s="9">
        <v>0</v>
      </c>
      <c r="M43" s="9">
        <v>0</v>
      </c>
      <c r="N43" s="9">
        <v>40361</v>
      </c>
    </row>
    <row r="44" spans="1:14">
      <c r="A44">
        <v>1995</v>
      </c>
      <c r="B44" s="9">
        <v>0</v>
      </c>
      <c r="C44" s="9">
        <v>0</v>
      </c>
      <c r="D44" s="9">
        <v>0</v>
      </c>
      <c r="E44" s="9">
        <v>0</v>
      </c>
      <c r="F44" s="9">
        <v>484</v>
      </c>
      <c r="G44" s="9">
        <v>2176</v>
      </c>
      <c r="H44" s="9">
        <v>18839</v>
      </c>
      <c r="I44" s="9">
        <v>19603</v>
      </c>
      <c r="J44" s="9">
        <v>5391</v>
      </c>
      <c r="K44" s="9">
        <v>0</v>
      </c>
      <c r="L44" s="9">
        <v>0</v>
      </c>
      <c r="M44" s="9">
        <v>0</v>
      </c>
      <c r="N44" s="9">
        <v>46493</v>
      </c>
    </row>
    <row r="45" spans="1:14">
      <c r="A45">
        <v>1996</v>
      </c>
      <c r="B45" s="9">
        <v>0</v>
      </c>
      <c r="C45" s="9">
        <v>0</v>
      </c>
      <c r="D45" s="9">
        <v>0</v>
      </c>
      <c r="E45" s="9">
        <v>0</v>
      </c>
      <c r="F45" s="9">
        <v>424</v>
      </c>
      <c r="G45" s="9">
        <v>13049</v>
      </c>
      <c r="H45" s="9">
        <v>17219</v>
      </c>
      <c r="I45" s="9">
        <v>14737</v>
      </c>
      <c r="J45" s="9">
        <v>1517</v>
      </c>
      <c r="K45" s="9">
        <v>0</v>
      </c>
      <c r="L45" s="9">
        <v>0</v>
      </c>
      <c r="M45" s="9">
        <v>0</v>
      </c>
      <c r="N45" s="9">
        <v>46946</v>
      </c>
    </row>
    <row r="46" spans="1:14">
      <c r="A46">
        <v>1997</v>
      </c>
      <c r="B46" s="9">
        <v>0</v>
      </c>
      <c r="C46" s="9">
        <v>0</v>
      </c>
      <c r="D46" s="9">
        <v>0</v>
      </c>
      <c r="E46" s="9">
        <v>0</v>
      </c>
      <c r="F46" s="9">
        <v>607</v>
      </c>
      <c r="G46" s="9">
        <v>6514</v>
      </c>
      <c r="H46" s="9">
        <v>24679</v>
      </c>
      <c r="I46" s="9">
        <v>15204</v>
      </c>
      <c r="J46" s="9">
        <v>1827</v>
      </c>
      <c r="K46" s="9">
        <v>0</v>
      </c>
      <c r="L46" s="9">
        <v>0</v>
      </c>
      <c r="M46" s="9">
        <v>0</v>
      </c>
      <c r="N46" s="9">
        <v>48831</v>
      </c>
    </row>
    <row r="47" spans="1:14">
      <c r="A47">
        <v>1998</v>
      </c>
      <c r="B47" s="9">
        <v>0</v>
      </c>
      <c r="C47" s="9">
        <v>0</v>
      </c>
      <c r="D47" s="9">
        <v>0</v>
      </c>
      <c r="E47" s="9">
        <v>0</v>
      </c>
      <c r="F47" s="9">
        <v>369</v>
      </c>
      <c r="G47" s="9">
        <v>12347</v>
      </c>
      <c r="H47" s="9">
        <v>19286</v>
      </c>
      <c r="I47" s="9">
        <v>14912</v>
      </c>
      <c r="J47" s="9">
        <v>2144</v>
      </c>
      <c r="K47" s="9">
        <v>0</v>
      </c>
      <c r="L47" s="9">
        <v>0</v>
      </c>
      <c r="M47" s="9">
        <v>0</v>
      </c>
      <c r="N47" s="9">
        <v>49058</v>
      </c>
    </row>
    <row r="48" spans="1:14">
      <c r="A48">
        <v>1999</v>
      </c>
      <c r="B48" s="9">
        <v>0</v>
      </c>
      <c r="C48" s="9">
        <v>0</v>
      </c>
      <c r="D48" s="9">
        <v>0</v>
      </c>
      <c r="E48" s="9">
        <v>0</v>
      </c>
      <c r="F48" s="9">
        <v>246</v>
      </c>
      <c r="G48" s="9">
        <v>5461</v>
      </c>
      <c r="H48" s="9">
        <v>26946</v>
      </c>
      <c r="I48" s="9">
        <v>13831</v>
      </c>
      <c r="J48" s="9">
        <v>3086</v>
      </c>
      <c r="K48" s="9">
        <v>0</v>
      </c>
      <c r="L48" s="9">
        <v>0</v>
      </c>
      <c r="M48" s="9">
        <v>0</v>
      </c>
      <c r="N48" s="9">
        <v>49570</v>
      </c>
    </row>
    <row r="49" spans="1:14">
      <c r="A49">
        <v>2000</v>
      </c>
      <c r="B49" s="9">
        <v>0</v>
      </c>
      <c r="C49" s="9">
        <v>0</v>
      </c>
      <c r="D49" s="9">
        <v>0</v>
      </c>
      <c r="E49" s="9">
        <v>0</v>
      </c>
      <c r="F49" s="9">
        <v>2033</v>
      </c>
      <c r="G49" s="9">
        <v>15007</v>
      </c>
      <c r="H49" s="9">
        <v>24088</v>
      </c>
      <c r="I49" s="9">
        <v>21327</v>
      </c>
      <c r="J49" s="9">
        <v>290</v>
      </c>
      <c r="K49" s="9">
        <v>0</v>
      </c>
      <c r="L49" s="9">
        <v>0</v>
      </c>
      <c r="M49" s="9">
        <v>0</v>
      </c>
      <c r="N49" s="9">
        <v>62745</v>
      </c>
    </row>
    <row r="50" spans="1:14">
      <c r="A50">
        <v>2001</v>
      </c>
      <c r="B50" s="9">
        <v>0</v>
      </c>
      <c r="C50" s="9">
        <v>0</v>
      </c>
      <c r="D50" s="9">
        <v>0</v>
      </c>
      <c r="E50" s="9">
        <v>0</v>
      </c>
      <c r="F50" s="9">
        <v>0</v>
      </c>
      <c r="G50" s="9">
        <v>6748</v>
      </c>
      <c r="H50" s="9">
        <v>16166</v>
      </c>
      <c r="I50" s="9">
        <v>20619</v>
      </c>
      <c r="J50" s="9">
        <v>3711</v>
      </c>
      <c r="K50" s="9">
        <v>0</v>
      </c>
      <c r="L50" s="9">
        <v>0</v>
      </c>
      <c r="M50" s="9">
        <v>0</v>
      </c>
      <c r="N50" s="9">
        <v>47244</v>
      </c>
    </row>
    <row r="51" spans="1:14">
      <c r="A51">
        <v>2002</v>
      </c>
      <c r="B51" s="9">
        <v>0</v>
      </c>
      <c r="C51" s="9">
        <v>0</v>
      </c>
      <c r="D51" s="9">
        <v>0</v>
      </c>
      <c r="E51" s="9">
        <v>0</v>
      </c>
      <c r="F51" s="9">
        <v>0</v>
      </c>
      <c r="G51" s="9">
        <v>9697</v>
      </c>
      <c r="H51" s="9">
        <v>24676</v>
      </c>
      <c r="I51" s="9">
        <v>12184</v>
      </c>
      <c r="J51" s="9">
        <v>0</v>
      </c>
      <c r="K51" s="9">
        <v>0</v>
      </c>
      <c r="L51" s="9">
        <v>0</v>
      </c>
      <c r="M51" s="9">
        <v>0</v>
      </c>
      <c r="N51" s="9">
        <v>46557</v>
      </c>
    </row>
    <row r="52" spans="1:14">
      <c r="A52">
        <v>2003</v>
      </c>
      <c r="B52" s="9">
        <v>0</v>
      </c>
      <c r="C52" s="9">
        <v>0</v>
      </c>
      <c r="D52" s="9">
        <v>0</v>
      </c>
      <c r="E52" s="9">
        <v>0</v>
      </c>
      <c r="F52" s="9">
        <v>472</v>
      </c>
      <c r="G52" s="9">
        <v>3647</v>
      </c>
      <c r="H52" s="9">
        <v>19015</v>
      </c>
      <c r="I52" s="9">
        <v>12472</v>
      </c>
      <c r="J52" s="9">
        <v>0</v>
      </c>
      <c r="K52" s="9">
        <v>0</v>
      </c>
      <c r="L52" s="9">
        <v>0</v>
      </c>
      <c r="M52" s="9">
        <v>0</v>
      </c>
      <c r="N52" s="9">
        <v>35606</v>
      </c>
    </row>
    <row r="53" spans="1:14">
      <c r="A53">
        <v>2004</v>
      </c>
      <c r="B53" s="9">
        <v>0</v>
      </c>
      <c r="C53" s="9">
        <v>0</v>
      </c>
      <c r="D53" s="9">
        <v>0</v>
      </c>
      <c r="E53" s="9">
        <v>0</v>
      </c>
      <c r="F53" s="9">
        <v>982</v>
      </c>
      <c r="G53" s="9">
        <v>1417</v>
      </c>
      <c r="H53" s="9">
        <v>9713</v>
      </c>
      <c r="I53" s="9">
        <v>18022</v>
      </c>
      <c r="J53" s="9">
        <v>0</v>
      </c>
      <c r="K53" s="9">
        <v>0</v>
      </c>
      <c r="L53" s="9">
        <v>0</v>
      </c>
      <c r="M53" s="9">
        <v>0</v>
      </c>
      <c r="N53" s="9">
        <v>30134</v>
      </c>
    </row>
    <row r="54" spans="1:14">
      <c r="A54">
        <v>2005</v>
      </c>
      <c r="B54" s="9">
        <v>0</v>
      </c>
      <c r="C54" s="9">
        <v>0</v>
      </c>
      <c r="D54" s="9">
        <v>0</v>
      </c>
      <c r="E54" s="9">
        <v>0</v>
      </c>
      <c r="F54" s="9">
        <v>0</v>
      </c>
      <c r="G54" s="9">
        <v>4310</v>
      </c>
      <c r="H54" s="9">
        <v>14572</v>
      </c>
      <c r="I54" s="9">
        <v>7034</v>
      </c>
      <c r="J54" s="9">
        <v>0</v>
      </c>
      <c r="K54" s="9">
        <v>0</v>
      </c>
      <c r="L54" s="9">
        <v>0</v>
      </c>
      <c r="M54" s="9">
        <v>0</v>
      </c>
      <c r="N54" s="9">
        <v>25916</v>
      </c>
    </row>
    <row r="55" spans="1:14">
      <c r="A55">
        <v>2006</v>
      </c>
      <c r="B55" s="9">
        <v>0</v>
      </c>
      <c r="C55" s="9">
        <v>0</v>
      </c>
      <c r="D55" s="9">
        <v>0</v>
      </c>
      <c r="E55" s="9">
        <v>0</v>
      </c>
      <c r="F55" s="9">
        <v>492</v>
      </c>
      <c r="G55" s="9">
        <v>4796</v>
      </c>
      <c r="H55" s="9">
        <v>13730</v>
      </c>
      <c r="I55" s="9">
        <v>8833</v>
      </c>
      <c r="J55" s="9">
        <v>0</v>
      </c>
      <c r="K55" s="9">
        <v>0</v>
      </c>
      <c r="L55" s="9">
        <v>0</v>
      </c>
      <c r="M55" s="9">
        <v>0</v>
      </c>
      <c r="N55" s="9">
        <v>27851</v>
      </c>
    </row>
    <row r="56" spans="1:14">
      <c r="A56">
        <v>2007</v>
      </c>
      <c r="B56" s="9">
        <v>0</v>
      </c>
      <c r="C56" s="9">
        <v>0</v>
      </c>
      <c r="D56" s="9">
        <v>0</v>
      </c>
      <c r="E56" s="9">
        <v>0</v>
      </c>
      <c r="F56" s="9">
        <v>1895</v>
      </c>
      <c r="G56" s="9">
        <v>4637</v>
      </c>
      <c r="H56" s="9">
        <v>15064</v>
      </c>
      <c r="I56" s="9">
        <v>13505</v>
      </c>
      <c r="J56" s="9">
        <v>0</v>
      </c>
      <c r="K56" s="9">
        <v>0</v>
      </c>
      <c r="L56" s="9">
        <v>0</v>
      </c>
      <c r="M56" s="9">
        <v>0</v>
      </c>
      <c r="N56" s="9">
        <v>35101</v>
      </c>
    </row>
    <row r="57" spans="1:14">
      <c r="A57">
        <v>2008</v>
      </c>
      <c r="B57" s="9">
        <v>0</v>
      </c>
      <c r="C57" s="9">
        <v>0</v>
      </c>
      <c r="D57" s="9">
        <v>0</v>
      </c>
      <c r="E57" s="9">
        <v>0</v>
      </c>
      <c r="F57" s="9">
        <v>415</v>
      </c>
      <c r="G57" s="9">
        <v>3280</v>
      </c>
      <c r="H57" s="9">
        <v>11816</v>
      </c>
      <c r="I57" s="9">
        <v>13319</v>
      </c>
      <c r="J57" s="9">
        <v>1186</v>
      </c>
      <c r="K57" s="9">
        <v>0</v>
      </c>
      <c r="L57" s="9">
        <v>0</v>
      </c>
      <c r="M57" s="9">
        <v>0</v>
      </c>
      <c r="N57" s="9">
        <v>30016</v>
      </c>
    </row>
    <row r="58" spans="1:14">
      <c r="A58">
        <v>2009</v>
      </c>
      <c r="B58" s="9">
        <v>0</v>
      </c>
      <c r="C58" s="9">
        <v>0</v>
      </c>
      <c r="D58" s="9">
        <v>0</v>
      </c>
      <c r="E58" s="9">
        <v>0</v>
      </c>
      <c r="F58" s="9">
        <v>728</v>
      </c>
      <c r="G58" s="9">
        <v>5850</v>
      </c>
      <c r="H58" s="9">
        <v>13772</v>
      </c>
      <c r="I58" s="9">
        <v>13710</v>
      </c>
      <c r="J58" s="9">
        <v>1571</v>
      </c>
      <c r="K58" s="9">
        <v>0</v>
      </c>
      <c r="L58" s="9">
        <v>0</v>
      </c>
      <c r="M58" s="9">
        <v>0</v>
      </c>
      <c r="N58" s="9">
        <v>35631</v>
      </c>
    </row>
    <row r="59" spans="1:14">
      <c r="A59">
        <v>2010</v>
      </c>
      <c r="B59" s="9">
        <v>0</v>
      </c>
      <c r="C59" s="9">
        <v>0</v>
      </c>
      <c r="D59" s="9">
        <v>0</v>
      </c>
      <c r="E59" s="9">
        <v>0</v>
      </c>
      <c r="F59" s="9">
        <v>0</v>
      </c>
      <c r="G59" s="9">
        <v>1866</v>
      </c>
      <c r="H59" s="9">
        <v>16466</v>
      </c>
      <c r="I59" s="9">
        <v>15331</v>
      </c>
      <c r="J59" s="9">
        <v>4380</v>
      </c>
      <c r="K59" s="9">
        <v>0</v>
      </c>
      <c r="L59" s="9">
        <v>0</v>
      </c>
      <c r="M59" s="9">
        <v>0</v>
      </c>
      <c r="N59" s="9">
        <v>38043</v>
      </c>
    </row>
    <row r="60" spans="1:14">
      <c r="A60">
        <v>2011</v>
      </c>
      <c r="B60" s="9">
        <v>0</v>
      </c>
      <c r="C60" s="9">
        <v>0</v>
      </c>
      <c r="D60" s="9">
        <v>0</v>
      </c>
      <c r="E60" s="9">
        <v>0</v>
      </c>
      <c r="F60" s="9">
        <v>349</v>
      </c>
      <c r="G60" s="9">
        <v>6015</v>
      </c>
      <c r="H60" s="9">
        <v>15860</v>
      </c>
      <c r="I60" s="9">
        <v>9387</v>
      </c>
      <c r="J60" s="9">
        <v>4572</v>
      </c>
      <c r="K60" s="9">
        <v>0</v>
      </c>
      <c r="L60" s="9">
        <v>0</v>
      </c>
      <c r="M60" s="9">
        <v>0</v>
      </c>
      <c r="N60" s="9">
        <v>36183</v>
      </c>
    </row>
    <row r="61" spans="1:14">
      <c r="A61">
        <v>2012</v>
      </c>
      <c r="B61" s="9">
        <v>0</v>
      </c>
      <c r="C61" s="9">
        <v>0</v>
      </c>
      <c r="D61" s="9">
        <v>0</v>
      </c>
      <c r="E61" s="9">
        <v>350</v>
      </c>
      <c r="F61" s="9">
        <v>3966</v>
      </c>
      <c r="G61" s="9">
        <v>12741</v>
      </c>
      <c r="H61" s="9">
        <v>17329</v>
      </c>
      <c r="I61" s="9">
        <v>15692</v>
      </c>
      <c r="J61" s="9">
        <v>0</v>
      </c>
      <c r="K61" s="9">
        <v>0</v>
      </c>
      <c r="L61" s="9">
        <v>0</v>
      </c>
      <c r="M61" s="9">
        <v>0</v>
      </c>
      <c r="N61" s="9">
        <v>50078</v>
      </c>
    </row>
    <row r="62" spans="1:14">
      <c r="A62">
        <v>2013</v>
      </c>
      <c r="B62" s="9">
        <v>0</v>
      </c>
      <c r="C62" s="9">
        <v>0</v>
      </c>
      <c r="D62" s="9">
        <v>0</v>
      </c>
      <c r="E62" s="9">
        <v>0</v>
      </c>
      <c r="F62" s="9">
        <v>369</v>
      </c>
      <c r="G62" s="9">
        <v>7124</v>
      </c>
      <c r="H62" s="9">
        <v>17703</v>
      </c>
      <c r="I62" s="9">
        <v>9097</v>
      </c>
      <c r="J62" s="9">
        <v>5846</v>
      </c>
      <c r="K62" s="9">
        <v>0</v>
      </c>
      <c r="L62" s="9">
        <v>0</v>
      </c>
      <c r="M62" s="9">
        <v>0</v>
      </c>
      <c r="N62" s="9">
        <v>40139</v>
      </c>
    </row>
    <row r="63" spans="1:14">
      <c r="A63">
        <v>2014</v>
      </c>
      <c r="B63" s="9">
        <v>0</v>
      </c>
      <c r="C63" s="9">
        <v>0</v>
      </c>
      <c r="D63" s="9">
        <v>0</v>
      </c>
      <c r="E63" s="9">
        <v>0</v>
      </c>
      <c r="F63" s="9">
        <v>0</v>
      </c>
      <c r="G63" s="9">
        <v>2933</v>
      </c>
      <c r="H63" s="9">
        <v>16642</v>
      </c>
      <c r="I63" s="9">
        <v>11899</v>
      </c>
      <c r="J63" s="9">
        <v>634</v>
      </c>
      <c r="K63" s="9">
        <v>0</v>
      </c>
      <c r="L63" s="9">
        <v>0</v>
      </c>
      <c r="M63" s="9">
        <v>0</v>
      </c>
      <c r="N63" s="9">
        <v>32108</v>
      </c>
    </row>
    <row r="64" spans="1:14">
      <c r="A64">
        <v>2015</v>
      </c>
      <c r="B64" s="9">
        <v>0</v>
      </c>
      <c r="C64" s="9">
        <v>0</v>
      </c>
      <c r="D64" s="9">
        <v>0</v>
      </c>
      <c r="E64" s="9">
        <v>0</v>
      </c>
      <c r="F64" s="9">
        <v>385</v>
      </c>
      <c r="G64" s="9">
        <v>3709</v>
      </c>
      <c r="H64" s="9">
        <v>11268</v>
      </c>
      <c r="I64" s="9">
        <v>11378</v>
      </c>
      <c r="J64" s="9">
        <v>4804</v>
      </c>
      <c r="K64" s="9">
        <v>0</v>
      </c>
      <c r="L64" s="9">
        <v>0</v>
      </c>
      <c r="M64" s="9">
        <v>0</v>
      </c>
      <c r="N64" s="9">
        <v>31544</v>
      </c>
    </row>
    <row r="65" spans="1:14">
      <c r="A65">
        <v>2016</v>
      </c>
      <c r="B65" s="9">
        <v>0</v>
      </c>
      <c r="C65" s="9">
        <v>0</v>
      </c>
      <c r="D65" s="9">
        <v>0</v>
      </c>
      <c r="E65" s="9">
        <v>0</v>
      </c>
      <c r="F65" s="9">
        <v>731</v>
      </c>
      <c r="G65" s="9">
        <v>7631</v>
      </c>
      <c r="H65" s="9">
        <v>11923</v>
      </c>
      <c r="I65" s="9">
        <v>7852</v>
      </c>
      <c r="J65" s="9">
        <v>734</v>
      </c>
      <c r="K65" s="9">
        <v>0</v>
      </c>
      <c r="L65" s="9">
        <v>0</v>
      </c>
      <c r="M65" s="9">
        <v>0</v>
      </c>
      <c r="N65" s="9">
        <v>28871</v>
      </c>
    </row>
    <row r="66" spans="1:14">
      <c r="A66">
        <v>2017</v>
      </c>
      <c r="B66" s="9">
        <v>0</v>
      </c>
      <c r="C66" s="9">
        <v>0</v>
      </c>
      <c r="D66" s="9">
        <v>0</v>
      </c>
      <c r="E66" s="9">
        <v>0</v>
      </c>
      <c r="F66" s="9">
        <v>1648</v>
      </c>
      <c r="G66" s="9">
        <v>7056</v>
      </c>
      <c r="H66" s="9">
        <v>12865</v>
      </c>
      <c r="I66" s="9">
        <v>11300</v>
      </c>
      <c r="J66" s="9">
        <v>5131</v>
      </c>
      <c r="K66" s="9">
        <v>0</v>
      </c>
      <c r="L66" s="9">
        <v>0</v>
      </c>
      <c r="M66" s="9">
        <v>0</v>
      </c>
      <c r="N66" s="9">
        <v>38000</v>
      </c>
    </row>
    <row r="67" spans="1:14">
      <c r="A67">
        <v>2018</v>
      </c>
      <c r="B67" s="9">
        <v>0</v>
      </c>
      <c r="C67" s="9">
        <v>0</v>
      </c>
      <c r="D67" s="9">
        <v>0</v>
      </c>
      <c r="E67" s="9">
        <v>0</v>
      </c>
      <c r="F67" s="9">
        <v>801</v>
      </c>
      <c r="G67" s="9">
        <v>5904</v>
      </c>
      <c r="H67" s="9">
        <v>13649</v>
      </c>
      <c r="I67" s="9">
        <v>9377</v>
      </c>
      <c r="J67" s="9">
        <v>877</v>
      </c>
      <c r="K67" s="9">
        <v>0</v>
      </c>
      <c r="L67" s="9">
        <v>0</v>
      </c>
      <c r="M67" s="9">
        <v>0</v>
      </c>
      <c r="N67" s="9">
        <v>30608</v>
      </c>
    </row>
    <row r="68" spans="1:14">
      <c r="A68">
        <v>2019</v>
      </c>
      <c r="B68" s="9">
        <v>0</v>
      </c>
      <c r="C68" s="9">
        <v>0</v>
      </c>
      <c r="D68" s="9">
        <v>0</v>
      </c>
      <c r="E68" s="9">
        <v>0</v>
      </c>
      <c r="F68" s="9">
        <v>313</v>
      </c>
      <c r="G68" s="9">
        <v>2114</v>
      </c>
      <c r="H68" s="9">
        <v>7573</v>
      </c>
      <c r="I68" s="9">
        <v>5247</v>
      </c>
      <c r="J68" s="9">
        <v>4028</v>
      </c>
      <c r="K68" s="9">
        <v>0</v>
      </c>
      <c r="L68" s="9">
        <v>0</v>
      </c>
      <c r="M68" s="9">
        <v>0</v>
      </c>
      <c r="N68" s="9">
        <v>19275</v>
      </c>
    </row>
    <row r="69" spans="1:14">
      <c r="A69" s="102">
        <v>2020</v>
      </c>
      <c r="B69" s="103">
        <v>0</v>
      </c>
      <c r="C69" s="103">
        <v>0</v>
      </c>
      <c r="D69" s="103">
        <v>0</v>
      </c>
      <c r="E69" s="103">
        <v>0</v>
      </c>
      <c r="F69" s="103">
        <v>0</v>
      </c>
      <c r="G69" s="103">
        <v>5246</v>
      </c>
      <c r="H69" s="103">
        <v>5060</v>
      </c>
      <c r="I69" s="103">
        <v>11010</v>
      </c>
      <c r="J69" s="103">
        <v>3170</v>
      </c>
      <c r="K69" s="103">
        <v>0</v>
      </c>
      <c r="L69" s="103">
        <v>0</v>
      </c>
      <c r="M69" s="103">
        <v>0</v>
      </c>
      <c r="N69" s="103">
        <v>24486</v>
      </c>
    </row>
    <row r="70" spans="1:14" ht="13.8" thickBot="1">
      <c r="A70" s="102">
        <v>2021</v>
      </c>
      <c r="B70" s="104">
        <f t="shared" ref="B70:M70" si="0">B67+B68-B69</f>
        <v>0</v>
      </c>
      <c r="C70" s="104">
        <f t="shared" si="0"/>
        <v>0</v>
      </c>
      <c r="D70" s="104">
        <f t="shared" si="0"/>
        <v>0</v>
      </c>
      <c r="E70" s="104">
        <f t="shared" si="0"/>
        <v>0</v>
      </c>
      <c r="F70" s="104">
        <f t="shared" si="0"/>
        <v>1114</v>
      </c>
      <c r="G70" s="104">
        <f t="shared" si="0"/>
        <v>2772</v>
      </c>
      <c r="H70" s="104">
        <f t="shared" si="0"/>
        <v>16162</v>
      </c>
      <c r="I70" s="104">
        <f t="shared" si="0"/>
        <v>3614</v>
      </c>
      <c r="J70" s="104">
        <f t="shared" si="0"/>
        <v>1735</v>
      </c>
      <c r="K70" s="104">
        <f t="shared" si="0"/>
        <v>0</v>
      </c>
      <c r="L70" s="104">
        <f t="shared" si="0"/>
        <v>0</v>
      </c>
      <c r="M70" s="104">
        <f t="shared" si="0"/>
        <v>0</v>
      </c>
      <c r="N70" s="105">
        <f>SUM(B70:M70)</f>
        <v>25397</v>
      </c>
    </row>
    <row r="71" spans="1:14" ht="13.8" thickTop="1"/>
  </sheetData>
  <mergeCells count="3">
    <mergeCell ref="A2:N2"/>
    <mergeCell ref="A3:N3"/>
    <mergeCell ref="A4:N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70"/>
  <sheetViews>
    <sheetView topLeftCell="A46" workbookViewId="0">
      <selection activeCell="Q76" sqref="Q76"/>
    </sheetView>
  </sheetViews>
  <sheetFormatPr defaultRowHeight="13.2"/>
  <cols>
    <col min="14" max="14" width="9.109375" bestFit="1" customWidth="1"/>
  </cols>
  <sheetData>
    <row r="1" spans="1:14">
      <c r="A1" s="10" t="s">
        <v>118</v>
      </c>
    </row>
    <row r="5" spans="1:14" ht="13.8" thickBot="1">
      <c r="A5" s="40" t="s">
        <v>5</v>
      </c>
      <c r="B5" s="40" t="s">
        <v>119</v>
      </c>
      <c r="C5" s="40" t="s">
        <v>120</v>
      </c>
      <c r="D5" s="40" t="s">
        <v>121</v>
      </c>
      <c r="E5" s="40" t="s">
        <v>122</v>
      </c>
      <c r="F5" s="40" t="s">
        <v>123</v>
      </c>
      <c r="G5" s="40" t="s">
        <v>124</v>
      </c>
      <c r="H5" s="40" t="s">
        <v>125</v>
      </c>
      <c r="I5" s="40" t="s">
        <v>126</v>
      </c>
      <c r="J5" s="40" t="s">
        <v>127</v>
      </c>
      <c r="K5" s="40" t="s">
        <v>128</v>
      </c>
      <c r="L5" s="40" t="s">
        <v>129</v>
      </c>
      <c r="M5" s="40" t="s">
        <v>130</v>
      </c>
      <c r="N5" s="40" t="s">
        <v>131</v>
      </c>
    </row>
    <row r="6" spans="1:14" ht="13.8" thickTop="1">
      <c r="A6" s="41">
        <v>1957</v>
      </c>
      <c r="B6" s="42"/>
      <c r="C6" s="42"/>
      <c r="D6" s="42"/>
      <c r="E6" s="42"/>
      <c r="F6" s="42"/>
      <c r="G6" s="42">
        <v>17605</v>
      </c>
      <c r="H6" s="42">
        <v>6720</v>
      </c>
      <c r="I6" s="42">
        <v>1273</v>
      </c>
      <c r="J6" s="42">
        <v>908</v>
      </c>
      <c r="K6" s="42">
        <v>0</v>
      </c>
      <c r="L6" s="42">
        <v>0</v>
      </c>
      <c r="M6" s="42">
        <v>0</v>
      </c>
      <c r="N6" s="42">
        <f t="shared" ref="N6:N37" si="0">SUM(B6:M6)</f>
        <v>26506</v>
      </c>
    </row>
    <row r="7" spans="1:14">
      <c r="A7" s="43">
        <v>1958</v>
      </c>
      <c r="B7" s="44">
        <v>0</v>
      </c>
      <c r="C7" s="44">
        <v>0</v>
      </c>
      <c r="D7" s="44">
        <v>0</v>
      </c>
      <c r="E7" s="44">
        <v>0</v>
      </c>
      <c r="F7" s="44">
        <v>0</v>
      </c>
      <c r="G7" s="44">
        <v>1018</v>
      </c>
      <c r="H7" s="44">
        <v>840</v>
      </c>
      <c r="I7" s="44">
        <v>3794</v>
      </c>
      <c r="J7" s="44">
        <v>10360</v>
      </c>
      <c r="K7" s="44">
        <v>8</v>
      </c>
      <c r="L7" s="44">
        <v>0</v>
      </c>
      <c r="M7" s="44">
        <v>0</v>
      </c>
      <c r="N7" s="44">
        <f t="shared" si="0"/>
        <v>16020</v>
      </c>
    </row>
    <row r="8" spans="1:14">
      <c r="A8" s="43">
        <v>1959</v>
      </c>
      <c r="B8" s="44">
        <v>0</v>
      </c>
      <c r="C8" s="44">
        <v>0</v>
      </c>
      <c r="D8" s="44">
        <v>0</v>
      </c>
      <c r="E8" s="44">
        <v>32</v>
      </c>
      <c r="F8" s="44">
        <v>9158</v>
      </c>
      <c r="G8" s="44">
        <v>2201</v>
      </c>
      <c r="H8" s="44">
        <v>8946</v>
      </c>
      <c r="I8" s="44">
        <v>11864</v>
      </c>
      <c r="J8" s="44">
        <v>1696</v>
      </c>
      <c r="K8" s="44">
        <v>0</v>
      </c>
      <c r="L8" s="44">
        <v>0</v>
      </c>
      <c r="M8" s="44">
        <v>0</v>
      </c>
      <c r="N8" s="44">
        <f t="shared" si="0"/>
        <v>33897</v>
      </c>
    </row>
    <row r="9" spans="1:14">
      <c r="A9" s="43">
        <v>1960</v>
      </c>
      <c r="B9" s="44">
        <v>0</v>
      </c>
      <c r="C9" s="44">
        <v>1550</v>
      </c>
      <c r="D9" s="44">
        <v>1180</v>
      </c>
      <c r="E9" s="44">
        <v>8880</v>
      </c>
      <c r="F9" s="44">
        <v>3376</v>
      </c>
      <c r="G9" s="44">
        <v>5830</v>
      </c>
      <c r="H9" s="44">
        <v>19248</v>
      </c>
      <c r="I9" s="44">
        <v>12918</v>
      </c>
      <c r="J9" s="44">
        <v>4358</v>
      </c>
      <c r="K9" s="44">
        <v>0</v>
      </c>
      <c r="L9" s="44">
        <v>0</v>
      </c>
      <c r="M9" s="44">
        <v>0</v>
      </c>
      <c r="N9" s="44">
        <f t="shared" si="0"/>
        <v>57340</v>
      </c>
    </row>
    <row r="10" spans="1:14">
      <c r="A10" s="43">
        <v>1961</v>
      </c>
      <c r="B10" s="44">
        <v>0</v>
      </c>
      <c r="C10" s="44">
        <v>0</v>
      </c>
      <c r="D10" s="44">
        <v>0</v>
      </c>
      <c r="E10" s="44">
        <v>0</v>
      </c>
      <c r="F10" s="44">
        <v>0</v>
      </c>
      <c r="G10" s="44">
        <v>23560</v>
      </c>
      <c r="H10" s="44">
        <v>12728</v>
      </c>
      <c r="I10" s="44">
        <v>13286</v>
      </c>
      <c r="J10" s="44">
        <v>3884</v>
      </c>
      <c r="K10" s="44">
        <v>3550</v>
      </c>
      <c r="L10" s="44">
        <v>1030</v>
      </c>
      <c r="M10" s="44">
        <v>1064</v>
      </c>
      <c r="N10" s="44">
        <f t="shared" si="0"/>
        <v>59102</v>
      </c>
    </row>
    <row r="11" spans="1:14">
      <c r="A11" s="43">
        <v>1962</v>
      </c>
      <c r="B11" s="44">
        <v>1356</v>
      </c>
      <c r="C11" s="44">
        <v>9022</v>
      </c>
      <c r="D11" s="44">
        <v>3006</v>
      </c>
      <c r="E11" s="44">
        <v>956</v>
      </c>
      <c r="F11" s="44">
        <v>2038</v>
      </c>
      <c r="G11" s="44">
        <v>14344</v>
      </c>
      <c r="H11" s="44">
        <v>13208</v>
      </c>
      <c r="I11" s="44">
        <v>15030</v>
      </c>
      <c r="J11" s="44">
        <v>2578</v>
      </c>
      <c r="K11" s="44">
        <v>6580</v>
      </c>
      <c r="L11" s="44">
        <v>678</v>
      </c>
      <c r="M11" s="44">
        <v>1674</v>
      </c>
      <c r="N11" s="44">
        <f t="shared" si="0"/>
        <v>70470</v>
      </c>
    </row>
    <row r="12" spans="1:14">
      <c r="A12" s="43">
        <v>1963</v>
      </c>
      <c r="B12" s="44">
        <v>1436</v>
      </c>
      <c r="C12" s="44">
        <v>1404</v>
      </c>
      <c r="D12" s="44">
        <v>1810</v>
      </c>
      <c r="E12" s="44">
        <v>470</v>
      </c>
      <c r="F12" s="44">
        <v>956</v>
      </c>
      <c r="G12" s="44">
        <v>2798</v>
      </c>
      <c r="H12" s="44">
        <v>22926</v>
      </c>
      <c r="I12" s="44">
        <v>13302</v>
      </c>
      <c r="J12" s="44">
        <v>6962</v>
      </c>
      <c r="K12" s="44">
        <v>2078</v>
      </c>
      <c r="L12" s="44">
        <v>20</v>
      </c>
      <c r="M12" s="44">
        <v>12</v>
      </c>
      <c r="N12" s="44">
        <f t="shared" si="0"/>
        <v>54174</v>
      </c>
    </row>
    <row r="13" spans="1:14">
      <c r="A13" s="43">
        <v>1964</v>
      </c>
      <c r="B13" s="44">
        <v>31</v>
      </c>
      <c r="C13" s="44">
        <v>30</v>
      </c>
      <c r="D13" s="44">
        <v>590</v>
      </c>
      <c r="E13" s="44">
        <v>30</v>
      </c>
      <c r="F13" s="44">
        <v>6146</v>
      </c>
      <c r="G13" s="44">
        <v>3594</v>
      </c>
      <c r="H13" s="44">
        <v>24518</v>
      </c>
      <c r="I13" s="44">
        <v>14678</v>
      </c>
      <c r="J13" s="44">
        <v>8694</v>
      </c>
      <c r="K13" s="44">
        <v>124</v>
      </c>
      <c r="L13" s="44">
        <v>30</v>
      </c>
      <c r="M13" s="44">
        <v>31</v>
      </c>
      <c r="N13" s="44">
        <f t="shared" si="0"/>
        <v>58496</v>
      </c>
    </row>
    <row r="14" spans="1:14">
      <c r="A14" s="43">
        <v>1965</v>
      </c>
      <c r="B14" s="44">
        <v>32</v>
      </c>
      <c r="C14" s="44">
        <v>11</v>
      </c>
      <c r="D14" s="44">
        <v>7334</v>
      </c>
      <c r="E14" s="44">
        <v>3308</v>
      </c>
      <c r="F14" s="44">
        <v>15</v>
      </c>
      <c r="G14" s="44">
        <v>17402</v>
      </c>
      <c r="H14" s="44">
        <v>24636</v>
      </c>
      <c r="I14" s="44">
        <v>16302</v>
      </c>
      <c r="J14" s="44">
        <v>3434</v>
      </c>
      <c r="K14" s="44">
        <v>6400</v>
      </c>
      <c r="L14" s="44">
        <v>1622</v>
      </c>
      <c r="M14" s="44">
        <v>0</v>
      </c>
      <c r="N14" s="44">
        <f t="shared" si="0"/>
        <v>80496</v>
      </c>
    </row>
    <row r="15" spans="1:14">
      <c r="A15" s="43">
        <v>1966</v>
      </c>
      <c r="B15" s="44">
        <v>0</v>
      </c>
      <c r="C15" s="44">
        <v>1836</v>
      </c>
      <c r="D15" s="44">
        <v>274</v>
      </c>
      <c r="E15" s="44">
        <v>60</v>
      </c>
      <c r="F15" s="44">
        <v>4254</v>
      </c>
      <c r="G15" s="44">
        <v>5646</v>
      </c>
      <c r="H15" s="44">
        <v>23602</v>
      </c>
      <c r="I15" s="44">
        <v>15812</v>
      </c>
      <c r="J15" s="44">
        <v>932</v>
      </c>
      <c r="K15" s="44">
        <v>62</v>
      </c>
      <c r="L15" s="44">
        <v>60</v>
      </c>
      <c r="M15" s="44">
        <v>0</v>
      </c>
      <c r="N15" s="44">
        <f t="shared" si="0"/>
        <v>52538</v>
      </c>
    </row>
    <row r="16" spans="1:14">
      <c r="A16" s="43">
        <v>1967</v>
      </c>
      <c r="B16" s="44">
        <v>0</v>
      </c>
      <c r="C16" s="44">
        <v>0</v>
      </c>
      <c r="D16" s="44">
        <v>0</v>
      </c>
      <c r="E16" s="44">
        <v>0</v>
      </c>
      <c r="F16" s="44">
        <v>588</v>
      </c>
      <c r="G16" s="44">
        <v>15348</v>
      </c>
      <c r="H16" s="44">
        <v>15628</v>
      </c>
      <c r="I16" s="44">
        <v>23124</v>
      </c>
      <c r="J16" s="44">
        <v>4588</v>
      </c>
      <c r="K16" s="44">
        <v>62</v>
      </c>
      <c r="L16" s="44">
        <v>0</v>
      </c>
      <c r="M16" s="44">
        <v>0</v>
      </c>
      <c r="N16" s="44">
        <f t="shared" si="0"/>
        <v>59338</v>
      </c>
    </row>
    <row r="17" spans="1:14">
      <c r="A17" s="43">
        <v>1968</v>
      </c>
      <c r="B17" s="44">
        <v>0</v>
      </c>
      <c r="C17" s="44">
        <v>0</v>
      </c>
      <c r="D17" s="44">
        <v>0</v>
      </c>
      <c r="E17" s="44">
        <v>0</v>
      </c>
      <c r="F17" s="44">
        <v>0</v>
      </c>
      <c r="G17" s="44">
        <v>2722</v>
      </c>
      <c r="H17" s="44">
        <v>30032</v>
      </c>
      <c r="I17" s="44">
        <v>5818</v>
      </c>
      <c r="J17" s="44">
        <v>17900</v>
      </c>
      <c r="K17" s="44">
        <v>1500</v>
      </c>
      <c r="L17" s="44">
        <v>2510</v>
      </c>
      <c r="M17" s="44">
        <v>60</v>
      </c>
      <c r="N17" s="44">
        <f t="shared" si="0"/>
        <v>60542</v>
      </c>
    </row>
    <row r="18" spans="1:14">
      <c r="A18" s="43">
        <v>1969</v>
      </c>
      <c r="B18" s="44">
        <v>60</v>
      </c>
      <c r="C18" s="44">
        <v>60</v>
      </c>
      <c r="D18" s="44">
        <v>70</v>
      </c>
      <c r="E18" s="44">
        <v>60</v>
      </c>
      <c r="F18" s="44">
        <v>4452</v>
      </c>
      <c r="G18" s="44">
        <v>5450</v>
      </c>
      <c r="H18" s="44">
        <v>17100</v>
      </c>
      <c r="I18" s="44">
        <v>18894</v>
      </c>
      <c r="J18" s="44">
        <v>7524</v>
      </c>
      <c r="K18" s="44">
        <v>7644</v>
      </c>
      <c r="L18" s="44">
        <v>384</v>
      </c>
      <c r="M18" s="44">
        <v>60</v>
      </c>
      <c r="N18" s="44">
        <f t="shared" si="0"/>
        <v>61758</v>
      </c>
    </row>
    <row r="19" spans="1:14">
      <c r="A19" s="43">
        <v>1970</v>
      </c>
      <c r="B19" s="44">
        <v>60</v>
      </c>
      <c r="C19" s="44">
        <v>50</v>
      </c>
      <c r="D19" s="44">
        <v>60</v>
      </c>
      <c r="E19" s="44">
        <v>1724</v>
      </c>
      <c r="F19" s="44">
        <v>62</v>
      </c>
      <c r="G19" s="44">
        <v>2822</v>
      </c>
      <c r="H19" s="44">
        <v>32966</v>
      </c>
      <c r="I19" s="44">
        <v>26616</v>
      </c>
      <c r="J19" s="44">
        <v>488</v>
      </c>
      <c r="K19" s="44">
        <v>62</v>
      </c>
      <c r="L19" s="44">
        <v>60</v>
      </c>
      <c r="M19" s="44">
        <v>60</v>
      </c>
      <c r="N19" s="44">
        <f t="shared" si="0"/>
        <v>65030</v>
      </c>
    </row>
    <row r="20" spans="1:14">
      <c r="A20" s="43">
        <v>1971</v>
      </c>
      <c r="B20" s="44">
        <v>60</v>
      </c>
      <c r="C20" s="44">
        <v>48</v>
      </c>
      <c r="D20" s="44">
        <v>60</v>
      </c>
      <c r="E20" s="44">
        <v>460</v>
      </c>
      <c r="F20" s="44">
        <v>62</v>
      </c>
      <c r="G20" s="44">
        <v>7746</v>
      </c>
      <c r="H20" s="44">
        <v>20058</v>
      </c>
      <c r="I20" s="44">
        <v>16770</v>
      </c>
      <c r="J20" s="44">
        <v>2738</v>
      </c>
      <c r="K20" s="44">
        <v>28</v>
      </c>
      <c r="L20" s="44">
        <v>0</v>
      </c>
      <c r="M20" s="44">
        <v>0</v>
      </c>
      <c r="N20" s="44">
        <f t="shared" si="0"/>
        <v>48030</v>
      </c>
    </row>
    <row r="21" spans="1:14">
      <c r="A21" s="43">
        <v>1972</v>
      </c>
      <c r="B21" s="44">
        <v>0</v>
      </c>
      <c r="C21" s="44">
        <v>58</v>
      </c>
      <c r="D21" s="44">
        <v>260</v>
      </c>
      <c r="E21" s="44">
        <v>94</v>
      </c>
      <c r="F21" s="44">
        <v>454</v>
      </c>
      <c r="G21" s="44">
        <v>2622</v>
      </c>
      <c r="H21" s="44">
        <v>16840</v>
      </c>
      <c r="I21" s="44">
        <v>10970</v>
      </c>
      <c r="J21" s="44">
        <v>110</v>
      </c>
      <c r="K21" s="44">
        <v>62</v>
      </c>
      <c r="L21" s="44">
        <v>60</v>
      </c>
      <c r="M21" s="44">
        <v>60</v>
      </c>
      <c r="N21" s="44">
        <f t="shared" si="0"/>
        <v>31590</v>
      </c>
    </row>
    <row r="22" spans="1:14">
      <c r="A22" s="43">
        <v>1973</v>
      </c>
      <c r="B22" s="44">
        <v>60</v>
      </c>
      <c r="C22" s="44">
        <v>4050</v>
      </c>
      <c r="D22" s="44">
        <v>4990</v>
      </c>
      <c r="E22" s="44">
        <v>13680</v>
      </c>
      <c r="F22" s="44">
        <v>8320</v>
      </c>
      <c r="G22" s="44">
        <v>7088</v>
      </c>
      <c r="H22" s="44">
        <v>12520</v>
      </c>
      <c r="I22" s="44">
        <v>10352</v>
      </c>
      <c r="J22" s="44">
        <v>24742</v>
      </c>
      <c r="K22" s="44">
        <v>61980</v>
      </c>
      <c r="L22" s="44">
        <v>27970</v>
      </c>
      <c r="M22" s="44">
        <v>6600</v>
      </c>
      <c r="N22" s="44">
        <f t="shared" si="0"/>
        <v>182352</v>
      </c>
    </row>
    <row r="23" spans="1:14">
      <c r="A23" s="43">
        <v>1974</v>
      </c>
      <c r="B23" s="44">
        <v>4910</v>
      </c>
      <c r="C23" s="44">
        <v>10950</v>
      </c>
      <c r="D23" s="44">
        <v>3620</v>
      </c>
      <c r="E23" s="44">
        <v>3324</v>
      </c>
      <c r="F23" s="44">
        <v>3164</v>
      </c>
      <c r="G23" s="44">
        <v>5970</v>
      </c>
      <c r="H23" s="44">
        <v>32930</v>
      </c>
      <c r="I23" s="44">
        <v>8280</v>
      </c>
      <c r="J23" s="44">
        <v>980</v>
      </c>
      <c r="K23" s="44">
        <v>62</v>
      </c>
      <c r="L23" s="44">
        <v>60</v>
      </c>
      <c r="M23" s="44">
        <v>62</v>
      </c>
      <c r="N23" s="44">
        <f t="shared" si="0"/>
        <v>74312</v>
      </c>
    </row>
    <row r="24" spans="1:14">
      <c r="A24" s="43">
        <v>1975</v>
      </c>
      <c r="B24" s="44">
        <v>60</v>
      </c>
      <c r="C24" s="44">
        <v>56</v>
      </c>
      <c r="D24" s="44">
        <v>60</v>
      </c>
      <c r="E24" s="44">
        <v>374</v>
      </c>
      <c r="F24" s="44">
        <v>2054</v>
      </c>
      <c r="G24" s="44">
        <v>10526</v>
      </c>
      <c r="H24" s="44">
        <v>33728</v>
      </c>
      <c r="I24" s="44">
        <v>17557</v>
      </c>
      <c r="J24" s="44">
        <v>1080</v>
      </c>
      <c r="K24" s="44">
        <v>62</v>
      </c>
      <c r="L24" s="44">
        <v>60</v>
      </c>
      <c r="M24" s="44">
        <v>62</v>
      </c>
      <c r="N24" s="44">
        <f t="shared" si="0"/>
        <v>65679</v>
      </c>
    </row>
    <row r="25" spans="1:14">
      <c r="A25" s="43">
        <v>1976</v>
      </c>
      <c r="B25" s="44">
        <v>62</v>
      </c>
      <c r="C25" s="44">
        <v>58</v>
      </c>
      <c r="D25" s="44">
        <v>62</v>
      </c>
      <c r="E25" s="44">
        <v>60</v>
      </c>
      <c r="F25" s="44">
        <v>1220</v>
      </c>
      <c r="G25" s="44">
        <v>7520</v>
      </c>
      <c r="H25" s="44">
        <v>30576</v>
      </c>
      <c r="I25" s="44">
        <v>22298</v>
      </c>
      <c r="J25" s="44">
        <v>3186</v>
      </c>
      <c r="K25" s="44">
        <v>62</v>
      </c>
      <c r="L25" s="44">
        <v>60</v>
      </c>
      <c r="M25" s="44">
        <v>62</v>
      </c>
      <c r="N25" s="44">
        <f t="shared" si="0"/>
        <v>65226</v>
      </c>
    </row>
    <row r="26" spans="1:14">
      <c r="A26" s="43">
        <v>1977</v>
      </c>
      <c r="B26" s="44">
        <v>62</v>
      </c>
      <c r="C26" s="44">
        <v>56</v>
      </c>
      <c r="D26" s="44">
        <v>62</v>
      </c>
      <c r="E26" s="44">
        <v>56</v>
      </c>
      <c r="F26" s="44">
        <v>1157</v>
      </c>
      <c r="G26" s="44">
        <v>3938</v>
      </c>
      <c r="H26" s="44">
        <v>29521</v>
      </c>
      <c r="I26" s="44">
        <v>5262</v>
      </c>
      <c r="J26" s="44">
        <v>60</v>
      </c>
      <c r="K26" s="44">
        <v>58</v>
      </c>
      <c r="L26" s="44">
        <v>60</v>
      </c>
      <c r="M26" s="44">
        <v>62</v>
      </c>
      <c r="N26" s="44">
        <f t="shared" si="0"/>
        <v>40354</v>
      </c>
    </row>
    <row r="27" spans="1:14">
      <c r="A27" s="43">
        <v>1978</v>
      </c>
      <c r="B27" s="44">
        <v>0</v>
      </c>
      <c r="C27" s="44">
        <v>12</v>
      </c>
      <c r="D27" s="44">
        <v>7476</v>
      </c>
      <c r="E27" s="44">
        <v>3609</v>
      </c>
      <c r="F27" s="44">
        <v>2004</v>
      </c>
      <c r="G27" s="44">
        <v>3777</v>
      </c>
      <c r="H27" s="44">
        <v>19966</v>
      </c>
      <c r="I27" s="44">
        <v>16441</v>
      </c>
      <c r="J27" s="44">
        <v>3996</v>
      </c>
      <c r="K27" s="44">
        <v>1072</v>
      </c>
      <c r="L27" s="44">
        <v>396</v>
      </c>
      <c r="M27" s="44">
        <v>1102</v>
      </c>
      <c r="N27" s="44">
        <f t="shared" si="0"/>
        <v>59851</v>
      </c>
    </row>
    <row r="28" spans="1:14">
      <c r="A28" s="43">
        <v>1979</v>
      </c>
      <c r="B28" s="44">
        <v>68</v>
      </c>
      <c r="C28" s="44">
        <v>21</v>
      </c>
      <c r="D28" s="44">
        <v>9422</v>
      </c>
      <c r="E28" s="44">
        <v>11559</v>
      </c>
      <c r="F28" s="44">
        <v>580</v>
      </c>
      <c r="G28" s="44">
        <v>1481</v>
      </c>
      <c r="H28" s="44">
        <v>9709</v>
      </c>
      <c r="I28" s="44">
        <v>22270</v>
      </c>
      <c r="J28" s="44">
        <v>2386</v>
      </c>
      <c r="K28" s="44">
        <v>15</v>
      </c>
      <c r="L28" s="44">
        <v>16</v>
      </c>
      <c r="M28" s="44">
        <v>1315</v>
      </c>
      <c r="N28" s="44">
        <f t="shared" si="0"/>
        <v>58842</v>
      </c>
    </row>
    <row r="29" spans="1:14">
      <c r="A29" s="43">
        <v>1980</v>
      </c>
      <c r="B29" s="44">
        <v>1276</v>
      </c>
      <c r="C29" s="44">
        <v>12</v>
      </c>
      <c r="D29" s="44">
        <v>21</v>
      </c>
      <c r="E29" s="44">
        <v>6974</v>
      </c>
      <c r="F29" s="44">
        <v>1191</v>
      </c>
      <c r="G29" s="44">
        <v>3504</v>
      </c>
      <c r="H29" s="44">
        <v>34101</v>
      </c>
      <c r="I29" s="44">
        <v>13546</v>
      </c>
      <c r="J29" s="44">
        <v>1016</v>
      </c>
      <c r="K29" s="44">
        <v>7</v>
      </c>
      <c r="L29" s="44">
        <v>6</v>
      </c>
      <c r="M29" s="44">
        <v>9</v>
      </c>
      <c r="N29" s="44">
        <f t="shared" si="0"/>
        <v>61663</v>
      </c>
    </row>
    <row r="30" spans="1:14">
      <c r="A30" s="43">
        <v>1981</v>
      </c>
      <c r="B30" s="44">
        <v>7</v>
      </c>
      <c r="C30" s="44">
        <v>7</v>
      </c>
      <c r="D30" s="44">
        <v>9</v>
      </c>
      <c r="E30" s="44">
        <v>7</v>
      </c>
      <c r="F30" s="44">
        <v>2766</v>
      </c>
      <c r="G30" s="44">
        <v>11085</v>
      </c>
      <c r="H30" s="44">
        <v>15179</v>
      </c>
      <c r="I30" s="44">
        <v>5801</v>
      </c>
      <c r="J30" s="44">
        <v>1225</v>
      </c>
      <c r="K30" s="44">
        <v>30</v>
      </c>
      <c r="L30" s="44">
        <v>23</v>
      </c>
      <c r="M30" s="44">
        <v>1947</v>
      </c>
      <c r="N30" s="44">
        <f t="shared" si="0"/>
        <v>38086</v>
      </c>
    </row>
    <row r="31" spans="1:14">
      <c r="A31" s="43">
        <v>1982</v>
      </c>
      <c r="B31" s="44">
        <v>14</v>
      </c>
      <c r="C31" s="44">
        <v>11</v>
      </c>
      <c r="D31" s="44">
        <v>14</v>
      </c>
      <c r="E31" s="44">
        <v>12</v>
      </c>
      <c r="F31" s="44">
        <v>3446</v>
      </c>
      <c r="G31" s="44">
        <v>6163</v>
      </c>
      <c r="H31" s="44">
        <v>16476</v>
      </c>
      <c r="I31" s="44">
        <v>22683</v>
      </c>
      <c r="J31" s="44">
        <v>1220</v>
      </c>
      <c r="K31" s="44">
        <v>1034</v>
      </c>
      <c r="L31" s="44">
        <v>5</v>
      </c>
      <c r="M31" s="44">
        <v>10</v>
      </c>
      <c r="N31" s="44">
        <f t="shared" si="0"/>
        <v>51088</v>
      </c>
    </row>
    <row r="32" spans="1:14">
      <c r="A32" s="43">
        <v>1983</v>
      </c>
      <c r="B32" s="44">
        <v>4</v>
      </c>
      <c r="C32" s="44">
        <v>3</v>
      </c>
      <c r="D32" s="44">
        <v>6</v>
      </c>
      <c r="E32" s="44">
        <v>4</v>
      </c>
      <c r="F32" s="44">
        <v>10</v>
      </c>
      <c r="G32" s="44">
        <v>7382</v>
      </c>
      <c r="H32" s="44">
        <v>29112</v>
      </c>
      <c r="I32" s="44">
        <v>19143</v>
      </c>
      <c r="J32" s="44">
        <v>3082</v>
      </c>
      <c r="K32" s="44">
        <v>8</v>
      </c>
      <c r="L32" s="44">
        <v>8</v>
      </c>
      <c r="M32" s="44">
        <v>5</v>
      </c>
      <c r="N32" s="44">
        <f t="shared" si="0"/>
        <v>58767</v>
      </c>
    </row>
    <row r="33" spans="1:14">
      <c r="A33" s="43">
        <v>1984</v>
      </c>
      <c r="B33" s="44">
        <v>8</v>
      </c>
      <c r="C33" s="44">
        <v>8</v>
      </c>
      <c r="D33" s="44">
        <v>2063</v>
      </c>
      <c r="E33" s="44">
        <v>6307</v>
      </c>
      <c r="F33" s="44">
        <v>7488</v>
      </c>
      <c r="G33" s="44">
        <v>11015</v>
      </c>
      <c r="H33" s="44">
        <v>28615</v>
      </c>
      <c r="I33" s="44">
        <v>18635</v>
      </c>
      <c r="J33" s="44">
        <v>3070</v>
      </c>
      <c r="K33" s="44">
        <v>11</v>
      </c>
      <c r="L33" s="44">
        <v>9</v>
      </c>
      <c r="M33" s="44">
        <v>9</v>
      </c>
      <c r="N33" s="44">
        <f t="shared" si="0"/>
        <v>77238</v>
      </c>
    </row>
    <row r="34" spans="1:14">
      <c r="A34" s="43">
        <v>1985</v>
      </c>
      <c r="B34" s="44">
        <v>7</v>
      </c>
      <c r="C34" s="44">
        <v>8</v>
      </c>
      <c r="D34" s="44">
        <v>9</v>
      </c>
      <c r="E34" s="44">
        <v>8</v>
      </c>
      <c r="F34" s="44">
        <v>15312</v>
      </c>
      <c r="G34" s="44">
        <v>8935</v>
      </c>
      <c r="H34" s="44">
        <v>23972</v>
      </c>
      <c r="I34" s="44">
        <v>14192</v>
      </c>
      <c r="J34" s="44">
        <v>8609</v>
      </c>
      <c r="K34" s="44">
        <v>368</v>
      </c>
      <c r="L34" s="44">
        <v>23</v>
      </c>
      <c r="M34" s="44">
        <v>11</v>
      </c>
      <c r="N34" s="44">
        <f t="shared" si="0"/>
        <v>71454</v>
      </c>
    </row>
    <row r="35" spans="1:14">
      <c r="A35" s="43">
        <v>1986</v>
      </c>
      <c r="B35" s="44">
        <v>3539</v>
      </c>
      <c r="C35" s="44">
        <v>20</v>
      </c>
      <c r="D35" s="44">
        <v>2930</v>
      </c>
      <c r="E35" s="44">
        <v>39</v>
      </c>
      <c r="F35" s="44">
        <v>6523</v>
      </c>
      <c r="G35" s="44">
        <v>13261</v>
      </c>
      <c r="H35" s="44">
        <v>21398</v>
      </c>
      <c r="I35" s="44">
        <v>7620</v>
      </c>
      <c r="J35" s="44">
        <v>278</v>
      </c>
      <c r="K35" s="44">
        <v>17837</v>
      </c>
      <c r="L35" s="44">
        <v>2001</v>
      </c>
      <c r="M35" s="44">
        <v>0</v>
      </c>
      <c r="N35" s="44">
        <f t="shared" si="0"/>
        <v>75446</v>
      </c>
    </row>
    <row r="36" spans="1:14">
      <c r="A36" s="43">
        <v>1987</v>
      </c>
      <c r="B36" s="44">
        <v>6214</v>
      </c>
      <c r="C36" s="44">
        <v>0</v>
      </c>
      <c r="D36" s="44">
        <v>3223</v>
      </c>
      <c r="E36" s="44">
        <v>49997</v>
      </c>
      <c r="F36" s="44">
        <v>21554</v>
      </c>
      <c r="G36" s="44">
        <v>7542</v>
      </c>
      <c r="H36" s="44">
        <v>23497</v>
      </c>
      <c r="I36" s="44">
        <v>11137</v>
      </c>
      <c r="J36" s="44">
        <v>936</v>
      </c>
      <c r="K36" s="44">
        <v>0</v>
      </c>
      <c r="L36" s="44">
        <v>0</v>
      </c>
      <c r="M36" s="44">
        <v>0</v>
      </c>
      <c r="N36" s="44">
        <f t="shared" si="0"/>
        <v>124100</v>
      </c>
    </row>
    <row r="37" spans="1:14">
      <c r="A37" s="43">
        <v>1988</v>
      </c>
      <c r="B37" s="44">
        <v>0</v>
      </c>
      <c r="C37" s="44">
        <v>6651</v>
      </c>
      <c r="D37" s="44">
        <v>1178</v>
      </c>
      <c r="E37" s="44">
        <v>0</v>
      </c>
      <c r="F37" s="44">
        <v>440</v>
      </c>
      <c r="G37" s="44">
        <v>18385</v>
      </c>
      <c r="H37" s="44">
        <v>18280</v>
      </c>
      <c r="I37" s="44">
        <v>17716</v>
      </c>
      <c r="J37" s="44">
        <v>2575</v>
      </c>
      <c r="K37" s="44">
        <v>12</v>
      </c>
      <c r="L37" s="44">
        <v>12</v>
      </c>
      <c r="M37" s="44">
        <v>6</v>
      </c>
      <c r="N37" s="44">
        <f t="shared" si="0"/>
        <v>65255</v>
      </c>
    </row>
    <row r="38" spans="1:14">
      <c r="A38" s="43">
        <v>1989</v>
      </c>
      <c r="B38" s="44">
        <v>6</v>
      </c>
      <c r="C38" s="44">
        <v>11</v>
      </c>
      <c r="D38" s="44">
        <v>12</v>
      </c>
      <c r="E38" s="44">
        <v>18</v>
      </c>
      <c r="F38" s="44">
        <v>25</v>
      </c>
      <c r="G38" s="44">
        <v>5092</v>
      </c>
      <c r="H38" s="44">
        <v>23217</v>
      </c>
      <c r="I38" s="44">
        <v>14593</v>
      </c>
      <c r="J38" s="44">
        <v>173</v>
      </c>
      <c r="K38" s="44">
        <v>12</v>
      </c>
      <c r="L38" s="44">
        <v>12</v>
      </c>
      <c r="M38" s="44">
        <v>6</v>
      </c>
      <c r="N38" s="44">
        <f t="shared" ref="N38:N69" si="1">SUM(B38:M38)</f>
        <v>43177</v>
      </c>
    </row>
    <row r="39" spans="1:14">
      <c r="A39" s="43">
        <v>1990</v>
      </c>
      <c r="B39" s="44">
        <v>6</v>
      </c>
      <c r="C39" s="44">
        <v>11</v>
      </c>
      <c r="D39" s="44">
        <v>12</v>
      </c>
      <c r="E39" s="44">
        <v>18</v>
      </c>
      <c r="F39" s="44">
        <v>675</v>
      </c>
      <c r="G39" s="44">
        <v>4276</v>
      </c>
      <c r="H39" s="44">
        <v>24243</v>
      </c>
      <c r="I39" s="44">
        <v>18864</v>
      </c>
      <c r="J39" s="44">
        <v>5330</v>
      </c>
      <c r="K39" s="44">
        <v>12</v>
      </c>
      <c r="L39" s="44">
        <v>12</v>
      </c>
      <c r="M39" s="44">
        <v>12</v>
      </c>
      <c r="N39" s="44">
        <f t="shared" si="1"/>
        <v>53471</v>
      </c>
    </row>
    <row r="40" spans="1:14">
      <c r="A40" s="43">
        <v>1991</v>
      </c>
      <c r="B40" s="44">
        <v>6</v>
      </c>
      <c r="C40" s="44">
        <v>11</v>
      </c>
      <c r="D40" s="44">
        <v>12</v>
      </c>
      <c r="E40" s="44">
        <v>18</v>
      </c>
      <c r="F40" s="44">
        <v>911</v>
      </c>
      <c r="G40" s="44">
        <v>9695</v>
      </c>
      <c r="H40" s="44">
        <v>22128</v>
      </c>
      <c r="I40" s="44">
        <v>10067</v>
      </c>
      <c r="J40" s="44">
        <v>18</v>
      </c>
      <c r="K40" s="44">
        <v>12</v>
      </c>
      <c r="L40" s="44">
        <v>12</v>
      </c>
      <c r="M40" s="44">
        <v>6</v>
      </c>
      <c r="N40" s="44">
        <f t="shared" si="1"/>
        <v>42896</v>
      </c>
    </row>
    <row r="41" spans="1:14">
      <c r="A41" s="43">
        <v>1992</v>
      </c>
      <c r="B41" s="44">
        <v>6</v>
      </c>
      <c r="C41" s="44">
        <v>12</v>
      </c>
      <c r="D41" s="44">
        <v>12</v>
      </c>
      <c r="E41" s="44">
        <v>18</v>
      </c>
      <c r="F41" s="44">
        <v>25</v>
      </c>
      <c r="G41" s="44">
        <f>24+3890</f>
        <v>3914</v>
      </c>
      <c r="H41" s="44">
        <f>5171+5726</f>
        <v>10897</v>
      </c>
      <c r="I41" s="44">
        <f>10097+3378</f>
        <v>13475</v>
      </c>
      <c r="J41" s="44">
        <f>6277+67</f>
        <v>6344</v>
      </c>
      <c r="K41" s="44">
        <v>12</v>
      </c>
      <c r="L41" s="44">
        <v>12</v>
      </c>
      <c r="M41" s="44">
        <v>6</v>
      </c>
      <c r="N41" s="44">
        <f t="shared" si="1"/>
        <v>34733</v>
      </c>
    </row>
    <row r="42" spans="1:14">
      <c r="A42" s="43">
        <v>1993</v>
      </c>
      <c r="B42" s="44">
        <v>6</v>
      </c>
      <c r="C42" s="44">
        <v>6661</v>
      </c>
      <c r="D42" s="44">
        <v>21833</v>
      </c>
      <c r="E42" s="44">
        <v>3477</v>
      </c>
      <c r="F42" s="44">
        <f>2245+597</f>
        <v>2842</v>
      </c>
      <c r="G42" s="44">
        <f>2463+2805</f>
        <v>5268</v>
      </c>
      <c r="H42" s="44">
        <f>46102+6262</f>
        <v>52364</v>
      </c>
      <c r="I42" s="44">
        <f>41844+7870</f>
        <v>49714</v>
      </c>
      <c r="J42" s="44">
        <f>16816+446</f>
        <v>17262</v>
      </c>
      <c r="K42" s="44">
        <v>7031</v>
      </c>
      <c r="L42" s="44">
        <v>2383</v>
      </c>
      <c r="M42" s="44">
        <v>6149</v>
      </c>
      <c r="N42" s="44">
        <f t="shared" si="1"/>
        <v>174990</v>
      </c>
    </row>
    <row r="43" spans="1:14">
      <c r="A43" s="43">
        <v>1994</v>
      </c>
      <c r="B43" s="44">
        <v>2940</v>
      </c>
      <c r="C43" s="44">
        <v>2777</v>
      </c>
      <c r="D43" s="44">
        <v>3074</v>
      </c>
      <c r="E43" s="44">
        <v>1318</v>
      </c>
      <c r="F43" s="44">
        <f>4282+1191</f>
        <v>5473</v>
      </c>
      <c r="G43" s="44">
        <f>24+7543</f>
        <v>7567</v>
      </c>
      <c r="H43" s="44">
        <f>24+11580</f>
        <v>11604</v>
      </c>
      <c r="I43" s="44">
        <f>25+19650</f>
        <v>19675</v>
      </c>
      <c r="J43" s="44">
        <f>18+349</f>
        <v>367</v>
      </c>
      <c r="K43" s="44">
        <v>12</v>
      </c>
      <c r="L43" s="44">
        <v>12</v>
      </c>
      <c r="M43" s="44">
        <v>6</v>
      </c>
      <c r="N43" s="44">
        <f t="shared" si="1"/>
        <v>54825</v>
      </c>
    </row>
    <row r="44" spans="1:14">
      <c r="A44" s="43">
        <v>1995</v>
      </c>
      <c r="B44" s="44">
        <v>6</v>
      </c>
      <c r="C44" s="44">
        <v>11</v>
      </c>
      <c r="D44" s="44">
        <v>12</v>
      </c>
      <c r="E44" s="44">
        <v>18</v>
      </c>
      <c r="F44" s="44">
        <v>630</v>
      </c>
      <c r="G44" s="44">
        <v>8363</v>
      </c>
      <c r="H44" s="44">
        <v>18546</v>
      </c>
      <c r="I44" s="44">
        <v>20173</v>
      </c>
      <c r="J44" s="44">
        <v>5966</v>
      </c>
      <c r="K44" s="44">
        <v>12</v>
      </c>
      <c r="L44" s="44">
        <v>12</v>
      </c>
      <c r="M44" s="44">
        <v>6</v>
      </c>
      <c r="N44" s="44">
        <f t="shared" si="1"/>
        <v>53755</v>
      </c>
    </row>
    <row r="45" spans="1:14">
      <c r="A45" s="43">
        <v>1996</v>
      </c>
      <c r="B45" s="44">
        <v>6</v>
      </c>
      <c r="C45" s="44">
        <v>12</v>
      </c>
      <c r="D45" s="44">
        <v>12</v>
      </c>
      <c r="E45" s="44">
        <v>18</v>
      </c>
      <c r="F45" s="44">
        <v>425</v>
      </c>
      <c r="G45" s="44">
        <v>12742</v>
      </c>
      <c r="H45" s="44">
        <v>17850</v>
      </c>
      <c r="I45" s="44">
        <v>15811</v>
      </c>
      <c r="J45" s="44">
        <v>1740</v>
      </c>
      <c r="K45" s="44">
        <v>12</v>
      </c>
      <c r="L45" s="44">
        <v>11281</v>
      </c>
      <c r="M45" s="44">
        <v>4640</v>
      </c>
      <c r="N45" s="44">
        <f t="shared" si="1"/>
        <v>64549</v>
      </c>
    </row>
    <row r="46" spans="1:14">
      <c r="A46" s="43">
        <v>1997</v>
      </c>
      <c r="B46" s="44">
        <v>6</v>
      </c>
      <c r="C46" s="44">
        <v>11</v>
      </c>
      <c r="D46" s="44">
        <v>12</v>
      </c>
      <c r="E46" s="44">
        <v>2690</v>
      </c>
      <c r="F46" s="44">
        <v>2106</v>
      </c>
      <c r="G46" s="44">
        <v>8967</v>
      </c>
      <c r="H46" s="44">
        <v>25626</v>
      </c>
      <c r="I46" s="44">
        <v>15172</v>
      </c>
      <c r="J46" s="44">
        <v>2179</v>
      </c>
      <c r="K46" s="44">
        <v>13</v>
      </c>
      <c r="L46" s="44">
        <v>12</v>
      </c>
      <c r="M46" s="44">
        <v>6</v>
      </c>
      <c r="N46" s="44">
        <f t="shared" si="1"/>
        <v>56800</v>
      </c>
    </row>
    <row r="47" spans="1:14">
      <c r="A47" s="43">
        <v>1998</v>
      </c>
      <c r="B47" s="44">
        <v>6</v>
      </c>
      <c r="C47" s="44">
        <v>6</v>
      </c>
      <c r="D47" s="44">
        <v>1162</v>
      </c>
      <c r="E47" s="44">
        <v>18389</v>
      </c>
      <c r="F47" s="44">
        <v>2909</v>
      </c>
      <c r="G47" s="44">
        <v>12101</v>
      </c>
      <c r="H47" s="44">
        <v>20310</v>
      </c>
      <c r="I47" s="44">
        <v>15038</v>
      </c>
      <c r="J47" s="44">
        <v>2600</v>
      </c>
      <c r="K47" s="44">
        <v>12</v>
      </c>
      <c r="L47" s="44">
        <v>12</v>
      </c>
      <c r="M47" s="44">
        <v>12</v>
      </c>
      <c r="N47" s="44">
        <f t="shared" si="1"/>
        <v>72557</v>
      </c>
    </row>
    <row r="48" spans="1:14">
      <c r="A48" s="43">
        <v>1999</v>
      </c>
      <c r="B48" s="45">
        <v>12</v>
      </c>
      <c r="C48" s="45">
        <v>11</v>
      </c>
      <c r="D48" s="45">
        <v>12</v>
      </c>
      <c r="E48" s="45">
        <v>12</v>
      </c>
      <c r="F48" s="45">
        <v>373</v>
      </c>
      <c r="G48" s="45">
        <v>5122</v>
      </c>
      <c r="H48" s="45">
        <v>27407</v>
      </c>
      <c r="I48" s="45">
        <v>14541</v>
      </c>
      <c r="J48" s="45">
        <v>3739</v>
      </c>
      <c r="K48" s="45">
        <v>12</v>
      </c>
      <c r="L48" s="45">
        <v>12</v>
      </c>
      <c r="M48" s="45">
        <v>6</v>
      </c>
      <c r="N48" s="44">
        <f t="shared" si="1"/>
        <v>51259</v>
      </c>
    </row>
    <row r="49" spans="1:14">
      <c r="A49" s="43">
        <v>2000</v>
      </c>
      <c r="B49" s="45">
        <v>6</v>
      </c>
      <c r="C49" s="45">
        <v>6</v>
      </c>
      <c r="D49" s="45">
        <v>12</v>
      </c>
      <c r="E49" s="45">
        <v>12</v>
      </c>
      <c r="F49" s="45">
        <v>2279</v>
      </c>
      <c r="G49" s="45">
        <v>15265</v>
      </c>
      <c r="H49" s="45">
        <v>25159</v>
      </c>
      <c r="I49" s="45">
        <v>21594</v>
      </c>
      <c r="J49" s="45">
        <v>692</v>
      </c>
      <c r="K49" s="45">
        <v>12</v>
      </c>
      <c r="L49" s="45">
        <v>12</v>
      </c>
      <c r="M49" s="45">
        <v>6</v>
      </c>
      <c r="N49" s="44">
        <f t="shared" si="1"/>
        <v>65055</v>
      </c>
    </row>
    <row r="50" spans="1:14">
      <c r="A50" s="43">
        <v>2001</v>
      </c>
      <c r="B50" s="45">
        <v>6</v>
      </c>
      <c r="C50" s="45">
        <v>11</v>
      </c>
      <c r="D50" s="45">
        <v>12</v>
      </c>
      <c r="E50" s="45">
        <v>18</v>
      </c>
      <c r="F50" s="45">
        <v>4519</v>
      </c>
      <c r="G50" s="45">
        <v>9988</v>
      </c>
      <c r="H50" s="45">
        <v>16727</v>
      </c>
      <c r="I50" s="45">
        <v>21030</v>
      </c>
      <c r="J50" s="45">
        <v>4105</v>
      </c>
      <c r="K50" s="45">
        <v>12</v>
      </c>
      <c r="L50" s="45">
        <v>12</v>
      </c>
      <c r="M50" s="45">
        <v>12</v>
      </c>
      <c r="N50" s="44">
        <f t="shared" si="1"/>
        <v>56452</v>
      </c>
    </row>
    <row r="51" spans="1:14">
      <c r="A51" s="43">
        <v>2002</v>
      </c>
      <c r="B51" s="46">
        <v>6</v>
      </c>
      <c r="C51" s="46">
        <v>6</v>
      </c>
      <c r="D51" s="46">
        <v>12</v>
      </c>
      <c r="E51" s="46">
        <v>17</v>
      </c>
      <c r="F51" s="46">
        <v>25</v>
      </c>
      <c r="G51" s="47">
        <v>8366</v>
      </c>
      <c r="H51" s="47">
        <v>27585</v>
      </c>
      <c r="I51" s="47">
        <v>15400</v>
      </c>
      <c r="J51" s="46">
        <v>24</v>
      </c>
      <c r="K51" s="46">
        <v>13</v>
      </c>
      <c r="L51" s="46">
        <v>12</v>
      </c>
      <c r="M51" s="46">
        <v>12</v>
      </c>
      <c r="N51" s="44">
        <f t="shared" si="1"/>
        <v>51478</v>
      </c>
    </row>
    <row r="52" spans="1:14">
      <c r="A52" s="43">
        <v>2003</v>
      </c>
      <c r="B52" s="45">
        <v>12</v>
      </c>
      <c r="C52" s="45">
        <v>11</v>
      </c>
      <c r="D52" s="45">
        <v>12</v>
      </c>
      <c r="E52" s="45">
        <v>17</v>
      </c>
      <c r="F52" s="45">
        <f>19+569</f>
        <v>588</v>
      </c>
      <c r="G52" s="45">
        <f>18+4145</f>
        <v>4163</v>
      </c>
      <c r="H52" s="45">
        <f>2034+18853</f>
        <v>20887</v>
      </c>
      <c r="I52" s="45">
        <f>25+13305</f>
        <v>13330</v>
      </c>
      <c r="J52" s="45">
        <v>19</v>
      </c>
      <c r="K52" s="45">
        <v>16</v>
      </c>
      <c r="L52" s="45">
        <v>12</v>
      </c>
      <c r="M52" s="45">
        <v>12</v>
      </c>
      <c r="N52" s="44">
        <f t="shared" si="1"/>
        <v>39079</v>
      </c>
    </row>
    <row r="53" spans="1:14">
      <c r="A53" s="43">
        <v>2004</v>
      </c>
      <c r="B53" s="48">
        <v>12</v>
      </c>
      <c r="C53" s="45">
        <v>12</v>
      </c>
      <c r="D53" s="45">
        <v>12</v>
      </c>
      <c r="E53" s="45">
        <v>18</v>
      </c>
      <c r="F53" s="45">
        <f>18+996</f>
        <v>1014</v>
      </c>
      <c r="G53" s="45">
        <f>24+1325</f>
        <v>1349</v>
      </c>
      <c r="H53" s="45">
        <f>4340+9390</f>
        <v>13730</v>
      </c>
      <c r="I53" s="45">
        <f>24+19018</f>
        <v>19042</v>
      </c>
      <c r="J53" s="45">
        <v>18</v>
      </c>
      <c r="K53" s="45">
        <v>12</v>
      </c>
      <c r="L53" s="45">
        <v>12</v>
      </c>
      <c r="M53" s="45">
        <v>12</v>
      </c>
      <c r="N53" s="44">
        <f t="shared" si="1"/>
        <v>35243</v>
      </c>
    </row>
    <row r="54" spans="1:14">
      <c r="A54" s="49">
        <v>2005</v>
      </c>
      <c r="B54" s="48">
        <v>12</v>
      </c>
      <c r="C54" s="45">
        <v>11</v>
      </c>
      <c r="D54" s="45">
        <v>12</v>
      </c>
      <c r="E54" s="45">
        <v>18</v>
      </c>
      <c r="F54" s="45">
        <v>25</v>
      </c>
      <c r="G54" s="45">
        <f>24+3663</f>
        <v>3687</v>
      </c>
      <c r="H54" s="45">
        <f>24+14571</f>
        <v>14595</v>
      </c>
      <c r="I54" s="45">
        <f>25+7034</f>
        <v>7059</v>
      </c>
      <c r="J54" s="44">
        <v>18</v>
      </c>
      <c r="K54" s="44">
        <v>12</v>
      </c>
      <c r="L54" s="44">
        <v>12</v>
      </c>
      <c r="M54" s="44">
        <v>12</v>
      </c>
      <c r="N54" s="44">
        <f t="shared" si="1"/>
        <v>25473</v>
      </c>
    </row>
    <row r="55" spans="1:14">
      <c r="A55" s="49">
        <v>2006</v>
      </c>
      <c r="B55" s="44">
        <v>12</v>
      </c>
      <c r="C55" s="44">
        <v>11</v>
      </c>
      <c r="D55" s="44">
        <v>12</v>
      </c>
      <c r="E55" s="44">
        <v>12</v>
      </c>
      <c r="F55" s="44">
        <v>463</v>
      </c>
      <c r="G55" s="44">
        <v>4423</v>
      </c>
      <c r="H55" s="44">
        <v>13641</v>
      </c>
      <c r="I55" s="44">
        <v>9426</v>
      </c>
      <c r="J55" s="44">
        <v>18</v>
      </c>
      <c r="K55" s="44">
        <v>18</v>
      </c>
      <c r="L55" s="44">
        <v>18</v>
      </c>
      <c r="M55" s="44">
        <v>12</v>
      </c>
      <c r="N55" s="44">
        <f t="shared" si="1"/>
        <v>28066</v>
      </c>
    </row>
    <row r="56" spans="1:14">
      <c r="A56" s="49">
        <v>2007</v>
      </c>
      <c r="B56" s="44">
        <v>12</v>
      </c>
      <c r="C56" s="44">
        <v>11</v>
      </c>
      <c r="D56" s="44">
        <v>12</v>
      </c>
      <c r="E56" s="44">
        <v>12</v>
      </c>
      <c r="F56" s="44">
        <v>1836</v>
      </c>
      <c r="G56" s="44">
        <v>4924</v>
      </c>
      <c r="H56" s="44">
        <v>16318</v>
      </c>
      <c r="I56" s="44">
        <v>13489</v>
      </c>
      <c r="J56" s="44">
        <v>12</v>
      </c>
      <c r="K56" s="44">
        <v>12</v>
      </c>
      <c r="L56" s="44">
        <v>12</v>
      </c>
      <c r="M56" s="44">
        <v>12</v>
      </c>
      <c r="N56" s="44">
        <f t="shared" si="1"/>
        <v>36662</v>
      </c>
    </row>
    <row r="57" spans="1:14">
      <c r="A57" s="49">
        <v>2008</v>
      </c>
      <c r="B57" s="44">
        <v>12</v>
      </c>
      <c r="C57" s="44">
        <v>12</v>
      </c>
      <c r="D57" s="44">
        <v>12</v>
      </c>
      <c r="E57" s="44">
        <v>12</v>
      </c>
      <c r="F57" s="44">
        <v>1536</v>
      </c>
      <c r="G57" s="44">
        <v>22742</v>
      </c>
      <c r="H57" s="44">
        <v>14460</v>
      </c>
      <c r="I57" s="44">
        <v>18976</v>
      </c>
      <c r="J57" s="44">
        <v>8825</v>
      </c>
      <c r="K57" s="44">
        <v>893</v>
      </c>
      <c r="L57" s="44">
        <v>10909</v>
      </c>
      <c r="M57" s="44">
        <v>3995</v>
      </c>
      <c r="N57" s="44">
        <f t="shared" si="1"/>
        <v>82384</v>
      </c>
    </row>
    <row r="58" spans="1:14">
      <c r="A58" s="49">
        <v>2009</v>
      </c>
      <c r="B58" s="44">
        <v>0</v>
      </c>
      <c r="C58" s="44">
        <v>11</v>
      </c>
      <c r="D58" s="44">
        <v>2374</v>
      </c>
      <c r="E58" s="44">
        <v>1052</v>
      </c>
      <c r="F58" s="44">
        <v>601</v>
      </c>
      <c r="G58" s="44">
        <v>5338</v>
      </c>
      <c r="H58" s="44">
        <v>13806</v>
      </c>
      <c r="I58" s="44">
        <v>13877</v>
      </c>
      <c r="J58" s="44">
        <v>1704</v>
      </c>
      <c r="K58" s="44">
        <v>12</v>
      </c>
      <c r="L58" s="44">
        <v>12</v>
      </c>
      <c r="M58" s="44">
        <v>12</v>
      </c>
      <c r="N58" s="44">
        <f t="shared" si="1"/>
        <v>38799</v>
      </c>
    </row>
    <row r="59" spans="1:14">
      <c r="A59" s="49">
        <v>2010</v>
      </c>
      <c r="B59" s="44">
        <v>12</v>
      </c>
      <c r="C59" s="44">
        <v>11</v>
      </c>
      <c r="D59" s="44">
        <v>12</v>
      </c>
      <c r="E59" s="44">
        <v>12</v>
      </c>
      <c r="F59" s="44">
        <v>12</v>
      </c>
      <c r="G59" s="44">
        <v>1581</v>
      </c>
      <c r="H59" s="44">
        <v>31873</v>
      </c>
      <c r="I59" s="44">
        <v>16406</v>
      </c>
      <c r="J59" s="44">
        <v>5149</v>
      </c>
      <c r="K59" s="44">
        <v>12</v>
      </c>
      <c r="L59" s="44">
        <v>12</v>
      </c>
      <c r="M59" s="44">
        <v>12</v>
      </c>
      <c r="N59" s="44">
        <f t="shared" si="1"/>
        <v>55104</v>
      </c>
    </row>
    <row r="60" spans="1:14">
      <c r="A60" s="49">
        <v>2011</v>
      </c>
      <c r="B60" s="44">
        <v>12</v>
      </c>
      <c r="C60" s="44">
        <v>11</v>
      </c>
      <c r="D60" s="44">
        <v>12</v>
      </c>
      <c r="E60" s="44">
        <v>12</v>
      </c>
      <c r="F60" s="44">
        <v>16272</v>
      </c>
      <c r="G60" s="44">
        <v>22106</v>
      </c>
      <c r="H60" s="44">
        <v>16289</v>
      </c>
      <c r="I60" s="44">
        <v>9244</v>
      </c>
      <c r="J60" s="44">
        <v>4798</v>
      </c>
      <c r="K60" s="44">
        <v>12</v>
      </c>
      <c r="L60" s="44">
        <v>12</v>
      </c>
      <c r="M60" s="44">
        <v>12</v>
      </c>
      <c r="N60" s="44">
        <f t="shared" si="1"/>
        <v>68792</v>
      </c>
    </row>
    <row r="61" spans="1:14">
      <c r="A61" s="49">
        <v>2012</v>
      </c>
      <c r="B61" s="44">
        <v>12.297700000000006</v>
      </c>
      <c r="C61" s="44">
        <v>11.504300000000006</v>
      </c>
      <c r="D61" s="44">
        <v>12.297700000000006</v>
      </c>
      <c r="E61" s="44">
        <v>297.52500000000003</v>
      </c>
      <c r="F61" s="44">
        <v>3590.7498850000006</v>
      </c>
      <c r="G61" s="44">
        <v>12531.752999999993</v>
      </c>
      <c r="H61" s="44">
        <v>17258.830199999997</v>
      </c>
      <c r="I61" s="44">
        <v>16323.014899999993</v>
      </c>
      <c r="J61" s="44">
        <v>11.901000000000005</v>
      </c>
      <c r="K61" s="44">
        <v>12</v>
      </c>
      <c r="L61" s="44">
        <v>12</v>
      </c>
      <c r="M61" s="44">
        <v>12.3</v>
      </c>
      <c r="N61" s="44">
        <f t="shared" si="1"/>
        <v>50086.173684999987</v>
      </c>
    </row>
    <row r="62" spans="1:14">
      <c r="A62" s="49">
        <v>2013</v>
      </c>
      <c r="B62" s="44">
        <v>12.3</v>
      </c>
      <c r="C62" s="44">
        <v>11</v>
      </c>
      <c r="D62" s="44">
        <v>12.3</v>
      </c>
      <c r="E62" s="44">
        <v>11.9</v>
      </c>
      <c r="F62" s="44">
        <v>379.2</v>
      </c>
      <c r="G62" s="44">
        <v>6823.2</v>
      </c>
      <c r="H62" s="44">
        <v>16661.8</v>
      </c>
      <c r="I62" s="44">
        <v>9108.6</v>
      </c>
      <c r="J62" s="44">
        <v>6284</v>
      </c>
      <c r="K62" s="44">
        <v>12</v>
      </c>
      <c r="L62" s="44">
        <v>12</v>
      </c>
      <c r="M62" s="44">
        <v>12</v>
      </c>
      <c r="N62" s="44">
        <f t="shared" si="1"/>
        <v>39340.299999999996</v>
      </c>
    </row>
    <row r="63" spans="1:14">
      <c r="A63" s="49">
        <v>2014</v>
      </c>
      <c r="B63" s="44">
        <v>12</v>
      </c>
      <c r="C63" s="44">
        <v>11</v>
      </c>
      <c r="D63" s="44">
        <v>12</v>
      </c>
      <c r="E63" s="44">
        <v>12</v>
      </c>
      <c r="F63" s="44">
        <v>12</v>
      </c>
      <c r="G63" s="44">
        <v>2967</v>
      </c>
      <c r="H63" s="44">
        <v>16652</v>
      </c>
      <c r="I63" s="44">
        <v>11913</v>
      </c>
      <c r="J63" s="44">
        <v>645</v>
      </c>
      <c r="K63" s="44">
        <v>12</v>
      </c>
      <c r="L63" s="44">
        <v>12</v>
      </c>
      <c r="M63" s="44">
        <v>12</v>
      </c>
      <c r="N63" s="44">
        <f t="shared" si="1"/>
        <v>32272</v>
      </c>
    </row>
    <row r="64" spans="1:14">
      <c r="A64" s="49">
        <v>2015</v>
      </c>
      <c r="B64" s="44">
        <v>12</v>
      </c>
      <c r="C64" s="44">
        <v>11</v>
      </c>
      <c r="D64" s="44">
        <v>12</v>
      </c>
      <c r="E64" s="44">
        <v>12</v>
      </c>
      <c r="F64" s="44">
        <v>23409</v>
      </c>
      <c r="G64" s="44">
        <v>6842</v>
      </c>
      <c r="H64" s="44">
        <v>11251</v>
      </c>
      <c r="I64" s="44">
        <v>11513</v>
      </c>
      <c r="J64" s="44">
        <v>4975</v>
      </c>
      <c r="K64" s="44">
        <v>12</v>
      </c>
      <c r="L64" s="44">
        <v>12</v>
      </c>
      <c r="M64" s="44">
        <v>12</v>
      </c>
      <c r="N64" s="44">
        <f t="shared" si="1"/>
        <v>58073</v>
      </c>
    </row>
    <row r="65" spans="1:14">
      <c r="A65" s="49">
        <v>2016</v>
      </c>
      <c r="B65" s="44">
        <v>12</v>
      </c>
      <c r="C65" s="44">
        <v>12</v>
      </c>
      <c r="D65" s="44">
        <v>12</v>
      </c>
      <c r="E65" s="44">
        <v>12</v>
      </c>
      <c r="F65" s="44">
        <v>4607</v>
      </c>
      <c r="G65" s="44">
        <v>9642</v>
      </c>
      <c r="H65" s="44">
        <v>11776</v>
      </c>
      <c r="I65" s="44">
        <v>8246</v>
      </c>
      <c r="J65" s="44">
        <v>1045</v>
      </c>
      <c r="K65" s="44">
        <v>12</v>
      </c>
      <c r="L65" s="44">
        <v>12</v>
      </c>
      <c r="M65" s="44">
        <v>12</v>
      </c>
      <c r="N65" s="44">
        <f t="shared" si="1"/>
        <v>35400</v>
      </c>
    </row>
    <row r="66" spans="1:14">
      <c r="A66" s="49">
        <v>2017</v>
      </c>
      <c r="B66" s="44">
        <v>12</v>
      </c>
      <c r="C66" s="44">
        <v>11</v>
      </c>
      <c r="D66" s="44">
        <v>12</v>
      </c>
      <c r="E66" s="44">
        <v>12</v>
      </c>
      <c r="F66" s="44">
        <v>13674</v>
      </c>
      <c r="G66" s="44">
        <v>6992</v>
      </c>
      <c r="H66" s="44">
        <v>12685</v>
      </c>
      <c r="I66" s="44">
        <v>11265</v>
      </c>
      <c r="J66" s="44">
        <v>5048</v>
      </c>
      <c r="K66" s="44">
        <v>12</v>
      </c>
      <c r="L66" s="44">
        <v>12</v>
      </c>
      <c r="M66" s="44">
        <v>12</v>
      </c>
      <c r="N66" s="44">
        <f t="shared" si="1"/>
        <v>49747</v>
      </c>
    </row>
    <row r="67" spans="1:14" s="10" customFormat="1">
      <c r="A67" s="82">
        <v>2018</v>
      </c>
      <c r="B67" s="83">
        <v>12</v>
      </c>
      <c r="C67" s="83">
        <v>11</v>
      </c>
      <c r="D67" s="83">
        <v>12</v>
      </c>
      <c r="E67" s="83">
        <v>12</v>
      </c>
      <c r="F67" s="83">
        <v>621</v>
      </c>
      <c r="G67" s="83">
        <v>5877</v>
      </c>
      <c r="H67" s="83">
        <v>13623</v>
      </c>
      <c r="I67" s="83">
        <v>9285</v>
      </c>
      <c r="J67" s="83">
        <v>1061</v>
      </c>
      <c r="K67" s="83">
        <v>7906</v>
      </c>
      <c r="L67" s="83">
        <v>285</v>
      </c>
      <c r="M67" s="83">
        <v>6155</v>
      </c>
      <c r="N67" s="44">
        <f t="shared" si="1"/>
        <v>44860</v>
      </c>
    </row>
    <row r="68" spans="1:14" s="10" customFormat="1">
      <c r="A68" s="10">
        <v>2019</v>
      </c>
      <c r="B68" s="84">
        <v>19183</v>
      </c>
      <c r="C68" s="84">
        <v>11</v>
      </c>
      <c r="D68" s="84">
        <v>11047</v>
      </c>
      <c r="E68" s="84">
        <v>3794</v>
      </c>
      <c r="F68" s="84">
        <v>343</v>
      </c>
      <c r="G68" s="84">
        <v>2013</v>
      </c>
      <c r="H68" s="84">
        <v>36632</v>
      </c>
      <c r="I68" s="84">
        <v>27168</v>
      </c>
      <c r="J68" s="84">
        <v>22043</v>
      </c>
      <c r="K68" s="84">
        <v>3289</v>
      </c>
      <c r="L68" s="84">
        <v>12</v>
      </c>
      <c r="M68" s="84">
        <v>12</v>
      </c>
      <c r="N68" s="44">
        <f t="shared" si="1"/>
        <v>125547</v>
      </c>
    </row>
    <row r="69" spans="1:14">
      <c r="A69">
        <v>2020</v>
      </c>
      <c r="B69" s="9">
        <v>5893</v>
      </c>
      <c r="C69" s="9">
        <v>4025</v>
      </c>
      <c r="D69" s="9">
        <v>2767</v>
      </c>
      <c r="E69" s="9">
        <v>736</v>
      </c>
      <c r="F69" s="9">
        <v>12</v>
      </c>
      <c r="G69" s="9">
        <v>5139</v>
      </c>
      <c r="H69" s="9">
        <v>7447</v>
      </c>
      <c r="I69" s="9">
        <v>21388</v>
      </c>
      <c r="J69" s="9">
        <v>3519</v>
      </c>
      <c r="K69" s="9">
        <v>12</v>
      </c>
      <c r="L69" s="9">
        <v>12</v>
      </c>
      <c r="M69" s="9">
        <v>12</v>
      </c>
      <c r="N69" s="44">
        <f t="shared" si="1"/>
        <v>50962</v>
      </c>
    </row>
    <row r="70" spans="1:14">
      <c r="A70">
        <v>2021</v>
      </c>
      <c r="B70" s="9">
        <v>12</v>
      </c>
      <c r="C70" s="9">
        <v>11</v>
      </c>
      <c r="D70" s="9">
        <v>2864</v>
      </c>
      <c r="E70" s="9">
        <v>5171</v>
      </c>
      <c r="F70" s="9">
        <v>758</v>
      </c>
      <c r="G70" s="9">
        <v>12198</v>
      </c>
      <c r="H70" s="9">
        <v>14779</v>
      </c>
      <c r="I70" s="9">
        <v>13304</v>
      </c>
      <c r="J70" s="9">
        <v>1150</v>
      </c>
      <c r="K70" s="9">
        <v>12</v>
      </c>
      <c r="L70" s="9">
        <v>12</v>
      </c>
      <c r="M70" s="9">
        <v>12</v>
      </c>
      <c r="N70" s="9">
        <v>50283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90AF1-ADAB-41BE-9B37-B6032AD2562A}">
  <dimension ref="A1:W100"/>
  <sheetViews>
    <sheetView topLeftCell="D76" workbookViewId="0">
      <selection activeCell="P6" sqref="P6:U6"/>
    </sheetView>
  </sheetViews>
  <sheetFormatPr defaultRowHeight="13.2"/>
  <sheetData>
    <row r="1" spans="1:21">
      <c r="A1" s="92"/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P1" t="s">
        <v>69</v>
      </c>
    </row>
    <row r="2" spans="1:21" s="90" customFormat="1" ht="17.399999999999999">
      <c r="A2" s="93">
        <v>2018</v>
      </c>
      <c r="B2" s="93">
        <v>6.53</v>
      </c>
      <c r="C2" s="93">
        <v>7.8</v>
      </c>
      <c r="D2" s="93">
        <v>8.74</v>
      </c>
      <c r="E2" s="93">
        <v>7.75</v>
      </c>
      <c r="F2" s="93">
        <v>9.34</v>
      </c>
      <c r="G2" s="93">
        <v>107.9</v>
      </c>
      <c r="H2" s="93">
        <v>5.64</v>
      </c>
      <c r="I2" s="93">
        <v>5.58</v>
      </c>
      <c r="J2" s="93">
        <v>38.299999999999997</v>
      </c>
      <c r="K2" s="93">
        <v>58.4</v>
      </c>
      <c r="L2" s="93">
        <v>9.91</v>
      </c>
      <c r="M2" s="93">
        <v>73.5</v>
      </c>
      <c r="P2" s="90" t="s">
        <v>69</v>
      </c>
    </row>
    <row r="3" spans="1:21" s="90" customFormat="1" ht="17.399999999999999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P3" s="90" t="s">
        <v>77</v>
      </c>
    </row>
    <row r="4" spans="1:21" s="91" customFormat="1" ht="17.399999999999999">
      <c r="A4" s="94">
        <v>2019</v>
      </c>
      <c r="B4" s="94">
        <v>34.9</v>
      </c>
      <c r="C4" s="94">
        <v>24.1</v>
      </c>
      <c r="D4" s="94">
        <v>165.6</v>
      </c>
      <c r="E4" s="94">
        <v>31.7</v>
      </c>
      <c r="F4" s="94">
        <v>134.19999999999999</v>
      </c>
      <c r="G4" s="94">
        <v>88.6</v>
      </c>
      <c r="H4" s="94">
        <v>156.80000000000001</v>
      </c>
      <c r="I4" s="94">
        <v>125.5</v>
      </c>
      <c r="J4" s="94">
        <v>26.6</v>
      </c>
      <c r="K4" s="94">
        <v>34.299999999999997</v>
      </c>
      <c r="L4" s="94">
        <v>24.4</v>
      </c>
      <c r="M4" s="94">
        <v>39.6</v>
      </c>
      <c r="P4" s="91" t="s">
        <v>310</v>
      </c>
    </row>
    <row r="5" spans="1:21" s="90" customFormat="1" ht="17.399999999999999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P5" s="90" t="s">
        <v>69</v>
      </c>
    </row>
    <row r="6" spans="1:21">
      <c r="A6" s="92">
        <v>2019</v>
      </c>
      <c r="B6" s="95">
        <v>34.9</v>
      </c>
      <c r="C6" s="95">
        <v>24.1</v>
      </c>
      <c r="D6" s="95">
        <v>165.6</v>
      </c>
      <c r="E6" s="95">
        <v>31.7</v>
      </c>
      <c r="F6" s="95">
        <v>134.19999999999999</v>
      </c>
      <c r="G6" s="95">
        <v>88.6</v>
      </c>
      <c r="H6" s="95">
        <v>156.80000000000001</v>
      </c>
      <c r="I6" s="95">
        <v>125.5</v>
      </c>
      <c r="J6" s="95">
        <v>26.6</v>
      </c>
      <c r="K6" s="95">
        <v>34.299999999999997</v>
      </c>
      <c r="L6" s="95">
        <v>24.4</v>
      </c>
      <c r="M6" s="95">
        <v>39.6</v>
      </c>
      <c r="P6" s="127" t="s">
        <v>78</v>
      </c>
      <c r="Q6" s="127"/>
      <c r="R6" s="127"/>
      <c r="S6" s="127"/>
      <c r="T6" s="127"/>
      <c r="U6" s="127"/>
    </row>
    <row r="7" spans="1:21">
      <c r="A7" s="92">
        <v>2020</v>
      </c>
      <c r="B7" s="95">
        <v>50</v>
      </c>
      <c r="C7" s="95">
        <v>30.8</v>
      </c>
      <c r="D7" s="95">
        <v>27.1</v>
      </c>
      <c r="E7" s="95">
        <v>22.3</v>
      </c>
      <c r="F7" s="95">
        <v>21.7</v>
      </c>
      <c r="G7" s="95">
        <v>10.4</v>
      </c>
      <c r="H7" s="95">
        <v>189</v>
      </c>
      <c r="I7" s="95">
        <v>20.5</v>
      </c>
      <c r="J7" s="95">
        <v>5.67</v>
      </c>
      <c r="K7" s="95">
        <v>5.15</v>
      </c>
      <c r="L7" s="95">
        <v>10.290666666666668</v>
      </c>
      <c r="M7" s="95">
        <v>11.554838709677417</v>
      </c>
      <c r="P7" t="s">
        <v>69</v>
      </c>
    </row>
    <row r="8" spans="1:21">
      <c r="A8" s="92">
        <v>2021</v>
      </c>
      <c r="B8" s="110">
        <v>11.9</v>
      </c>
      <c r="C8" s="110">
        <v>14</v>
      </c>
      <c r="D8" s="110">
        <v>67.5</v>
      </c>
      <c r="E8" s="110">
        <v>28.5</v>
      </c>
      <c r="F8" s="110">
        <v>76.2</v>
      </c>
      <c r="G8" s="110">
        <v>20.8</v>
      </c>
      <c r="H8" s="110">
        <v>10</v>
      </c>
      <c r="I8" s="110">
        <v>34.299999999999997</v>
      </c>
      <c r="J8" s="110">
        <v>6.4</v>
      </c>
      <c r="K8" s="110">
        <v>4.6900000000000004</v>
      </c>
      <c r="L8" s="110">
        <v>6.59</v>
      </c>
      <c r="M8" s="110">
        <v>7.75</v>
      </c>
      <c r="P8" t="s">
        <v>79</v>
      </c>
    </row>
    <row r="9" spans="1:21">
      <c r="P9" t="s">
        <v>80</v>
      </c>
    </row>
    <row r="10" spans="1:21">
      <c r="P10" t="s">
        <v>81</v>
      </c>
    </row>
    <row r="11" spans="1:21">
      <c r="P11" t="s">
        <v>69</v>
      </c>
    </row>
    <row r="12" spans="1:21">
      <c r="P12" t="s">
        <v>311</v>
      </c>
    </row>
    <row r="13" spans="1:21">
      <c r="P13" t="s">
        <v>69</v>
      </c>
    </row>
    <row r="14" spans="1:21">
      <c r="P14" t="s">
        <v>82</v>
      </c>
    </row>
    <row r="15" spans="1:21">
      <c r="P15" t="s">
        <v>69</v>
      </c>
    </row>
    <row r="16" spans="1:21">
      <c r="P16" t="s">
        <v>69</v>
      </c>
    </row>
    <row r="17" spans="16:23">
      <c r="P17" t="s">
        <v>83</v>
      </c>
    </row>
    <row r="18" spans="16:23">
      <c r="P18" t="s">
        <v>84</v>
      </c>
    </row>
    <row r="19" spans="16:23">
      <c r="P19" t="s">
        <v>85</v>
      </c>
    </row>
    <row r="20" spans="16:23">
      <c r="P20" t="s">
        <v>86</v>
      </c>
    </row>
    <row r="21" spans="16:23">
      <c r="P21" t="s">
        <v>312</v>
      </c>
    </row>
    <row r="22" spans="16:23">
      <c r="P22" t="s">
        <v>87</v>
      </c>
    </row>
    <row r="23" spans="16:23">
      <c r="P23" t="s">
        <v>88</v>
      </c>
    </row>
    <row r="24" spans="16:23">
      <c r="P24" t="s">
        <v>89</v>
      </c>
    </row>
    <row r="25" spans="16:23">
      <c r="P25" t="s">
        <v>69</v>
      </c>
    </row>
    <row r="26" spans="16:23">
      <c r="P26" t="s">
        <v>69</v>
      </c>
    </row>
    <row r="27" spans="16:23">
      <c r="P27" t="s">
        <v>90</v>
      </c>
    </row>
    <row r="28" spans="16:23">
      <c r="P28" t="s">
        <v>91</v>
      </c>
    </row>
    <row r="29" spans="16:23">
      <c r="P29" t="s">
        <v>92</v>
      </c>
    </row>
    <row r="30" spans="16:23">
      <c r="P30" t="s">
        <v>93</v>
      </c>
    </row>
    <row r="31" spans="16:23">
      <c r="P31" t="s">
        <v>85</v>
      </c>
      <c r="Q31" t="s">
        <v>313</v>
      </c>
      <c r="V31" t="s">
        <v>66</v>
      </c>
      <c r="W31" t="s">
        <v>314</v>
      </c>
    </row>
    <row r="32" spans="16:23">
      <c r="P32" t="s">
        <v>315</v>
      </c>
      <c r="R32" t="s">
        <v>316</v>
      </c>
      <c r="T32">
        <v>54716</v>
      </c>
    </row>
    <row r="33" spans="16:21">
      <c r="P33" t="s">
        <v>69</v>
      </c>
    </row>
    <row r="34" spans="16:21">
      <c r="P34" t="s">
        <v>69</v>
      </c>
    </row>
    <row r="35" spans="16:21">
      <c r="P35" t="s">
        <v>63</v>
      </c>
      <c r="Q35" t="s">
        <v>64</v>
      </c>
      <c r="R35" t="s">
        <v>65</v>
      </c>
      <c r="S35" t="s">
        <v>66</v>
      </c>
      <c r="T35" t="s">
        <v>67</v>
      </c>
      <c r="U35" t="s">
        <v>68</v>
      </c>
    </row>
    <row r="36" spans="16:21">
      <c r="P36" t="s">
        <v>70</v>
      </c>
      <c r="Q36" t="s">
        <v>71</v>
      </c>
      <c r="R36" t="s">
        <v>70</v>
      </c>
      <c r="S36" t="s">
        <v>72</v>
      </c>
      <c r="T36" t="s">
        <v>73</v>
      </c>
      <c r="U36" t="s">
        <v>74</v>
      </c>
    </row>
    <row r="37" spans="16:21">
      <c r="P37" t="s">
        <v>25</v>
      </c>
      <c r="Q37">
        <v>6853800</v>
      </c>
      <c r="R37">
        <v>60</v>
      </c>
      <c r="S37">
        <v>54716</v>
      </c>
      <c r="T37">
        <v>1958</v>
      </c>
      <c r="U37">
        <v>14.9</v>
      </c>
    </row>
    <row r="38" spans="16:21">
      <c r="P38" t="s">
        <v>25</v>
      </c>
      <c r="Q38">
        <v>6853800</v>
      </c>
      <c r="R38">
        <v>60</v>
      </c>
      <c r="S38">
        <v>54716</v>
      </c>
      <c r="T38">
        <v>1959</v>
      </c>
      <c r="U38">
        <v>13.9</v>
      </c>
    </row>
    <row r="39" spans="16:21">
      <c r="P39" t="s">
        <v>25</v>
      </c>
      <c r="Q39">
        <v>6853800</v>
      </c>
      <c r="R39">
        <v>60</v>
      </c>
      <c r="S39">
        <v>54716</v>
      </c>
      <c r="T39">
        <v>1960</v>
      </c>
      <c r="U39">
        <v>45.3</v>
      </c>
    </row>
    <row r="40" spans="16:21">
      <c r="P40" t="s">
        <v>25</v>
      </c>
      <c r="Q40">
        <v>6853800</v>
      </c>
      <c r="R40">
        <v>60</v>
      </c>
      <c r="S40">
        <v>54716</v>
      </c>
      <c r="T40">
        <v>1961</v>
      </c>
      <c r="U40">
        <v>41.6</v>
      </c>
    </row>
    <row r="41" spans="16:21">
      <c r="P41" t="s">
        <v>25</v>
      </c>
      <c r="Q41">
        <v>6853800</v>
      </c>
      <c r="R41">
        <v>60</v>
      </c>
      <c r="S41">
        <v>54716</v>
      </c>
      <c r="T41">
        <v>1962</v>
      </c>
      <c r="U41">
        <v>47.4</v>
      </c>
    </row>
    <row r="42" spans="16:21">
      <c r="P42" t="s">
        <v>25</v>
      </c>
      <c r="Q42">
        <v>6853800</v>
      </c>
      <c r="R42">
        <v>60</v>
      </c>
      <c r="S42">
        <v>54716</v>
      </c>
      <c r="T42">
        <v>1963</v>
      </c>
      <c r="U42">
        <v>30</v>
      </c>
    </row>
    <row r="43" spans="16:21">
      <c r="P43" t="s">
        <v>25</v>
      </c>
      <c r="Q43">
        <v>6853800</v>
      </c>
      <c r="R43">
        <v>60</v>
      </c>
      <c r="S43">
        <v>54716</v>
      </c>
      <c r="T43">
        <v>1964</v>
      </c>
      <c r="U43">
        <v>8.2799999999999994</v>
      </c>
    </row>
    <row r="44" spans="16:21">
      <c r="P44" t="s">
        <v>25</v>
      </c>
      <c r="Q44">
        <v>6853800</v>
      </c>
      <c r="R44">
        <v>60</v>
      </c>
      <c r="S44">
        <v>54716</v>
      </c>
      <c r="T44">
        <v>1965</v>
      </c>
      <c r="U44">
        <v>52.4</v>
      </c>
    </row>
    <row r="45" spans="16:21">
      <c r="P45" t="s">
        <v>25</v>
      </c>
      <c r="Q45">
        <v>6853800</v>
      </c>
      <c r="R45">
        <v>60</v>
      </c>
      <c r="S45">
        <v>54716</v>
      </c>
      <c r="T45">
        <v>1966</v>
      </c>
      <c r="U45">
        <v>7.16</v>
      </c>
    </row>
    <row r="46" spans="16:21">
      <c r="P46" t="s">
        <v>25</v>
      </c>
      <c r="Q46">
        <v>6853800</v>
      </c>
      <c r="R46">
        <v>60</v>
      </c>
      <c r="S46">
        <v>54716</v>
      </c>
      <c r="T46">
        <v>1967</v>
      </c>
      <c r="U46">
        <v>16.100000000000001</v>
      </c>
    </row>
    <row r="47" spans="16:21">
      <c r="P47" t="s">
        <v>25</v>
      </c>
      <c r="Q47">
        <v>6853800</v>
      </c>
      <c r="R47">
        <v>60</v>
      </c>
      <c r="S47">
        <v>54716</v>
      </c>
      <c r="T47">
        <v>1968</v>
      </c>
      <c r="U47">
        <v>4.93</v>
      </c>
    </row>
    <row r="48" spans="16:21">
      <c r="P48" t="s">
        <v>25</v>
      </c>
      <c r="Q48">
        <v>6853800</v>
      </c>
      <c r="R48">
        <v>60</v>
      </c>
      <c r="S48">
        <v>54716</v>
      </c>
      <c r="T48">
        <v>1969</v>
      </c>
      <c r="U48">
        <v>25.6</v>
      </c>
    </row>
    <row r="49" spans="16:21">
      <c r="P49" t="s">
        <v>25</v>
      </c>
      <c r="Q49">
        <v>6853800</v>
      </c>
      <c r="R49">
        <v>60</v>
      </c>
      <c r="S49">
        <v>54716</v>
      </c>
      <c r="T49">
        <v>1970</v>
      </c>
      <c r="U49">
        <v>5.27</v>
      </c>
    </row>
    <row r="50" spans="16:21">
      <c r="P50" t="s">
        <v>25</v>
      </c>
      <c r="Q50">
        <v>6853800</v>
      </c>
      <c r="R50">
        <v>60</v>
      </c>
      <c r="S50">
        <v>54716</v>
      </c>
      <c r="T50">
        <v>1971</v>
      </c>
      <c r="U50">
        <v>10.7</v>
      </c>
    </row>
    <row r="51" spans="16:21">
      <c r="P51" t="s">
        <v>25</v>
      </c>
      <c r="Q51">
        <v>6853800</v>
      </c>
      <c r="R51">
        <v>60</v>
      </c>
      <c r="S51">
        <v>54716</v>
      </c>
      <c r="T51">
        <v>1972</v>
      </c>
      <c r="U51">
        <v>10.5</v>
      </c>
    </row>
    <row r="52" spans="16:21">
      <c r="P52" t="s">
        <v>25</v>
      </c>
      <c r="Q52">
        <v>6853800</v>
      </c>
      <c r="R52">
        <v>60</v>
      </c>
      <c r="S52">
        <v>54716</v>
      </c>
      <c r="T52">
        <v>1973</v>
      </c>
      <c r="U52">
        <v>63.4</v>
      </c>
    </row>
    <row r="53" spans="16:21">
      <c r="P53" t="s">
        <v>25</v>
      </c>
      <c r="Q53">
        <v>6853800</v>
      </c>
      <c r="R53">
        <v>60</v>
      </c>
      <c r="S53">
        <v>54716</v>
      </c>
      <c r="T53">
        <v>1974</v>
      </c>
      <c r="U53">
        <v>55.2</v>
      </c>
    </row>
    <row r="54" spans="16:21">
      <c r="P54" t="s">
        <v>25</v>
      </c>
      <c r="Q54">
        <v>6853800</v>
      </c>
      <c r="R54">
        <v>60</v>
      </c>
      <c r="S54">
        <v>54716</v>
      </c>
      <c r="T54">
        <v>1975</v>
      </c>
      <c r="U54">
        <v>35.4</v>
      </c>
    </row>
    <row r="55" spans="16:21">
      <c r="P55" t="s">
        <v>25</v>
      </c>
      <c r="Q55">
        <v>6853800</v>
      </c>
      <c r="R55">
        <v>60</v>
      </c>
      <c r="S55">
        <v>54716</v>
      </c>
      <c r="T55">
        <v>1976</v>
      </c>
      <c r="U55">
        <v>9.6999999999999993</v>
      </c>
    </row>
    <row r="56" spans="16:21">
      <c r="P56" t="s">
        <v>25</v>
      </c>
      <c r="Q56">
        <v>6853800</v>
      </c>
      <c r="R56">
        <v>60</v>
      </c>
      <c r="S56">
        <v>54716</v>
      </c>
      <c r="T56">
        <v>1977</v>
      </c>
      <c r="U56">
        <v>5.4</v>
      </c>
    </row>
    <row r="57" spans="16:21">
      <c r="P57" t="s">
        <v>25</v>
      </c>
      <c r="Q57">
        <v>6853800</v>
      </c>
      <c r="R57">
        <v>60</v>
      </c>
      <c r="S57">
        <v>54716</v>
      </c>
      <c r="T57">
        <v>1978</v>
      </c>
      <c r="U57">
        <v>22.5</v>
      </c>
    </row>
    <row r="58" spans="16:21">
      <c r="P58" t="s">
        <v>25</v>
      </c>
      <c r="Q58">
        <v>6853800</v>
      </c>
      <c r="R58">
        <v>60</v>
      </c>
      <c r="S58">
        <v>54716</v>
      </c>
      <c r="T58">
        <v>1979</v>
      </c>
      <c r="U58">
        <v>23.2</v>
      </c>
    </row>
    <row r="59" spans="16:21">
      <c r="P59" t="s">
        <v>25</v>
      </c>
      <c r="Q59">
        <v>6853800</v>
      </c>
      <c r="R59">
        <v>60</v>
      </c>
      <c r="S59">
        <v>54716</v>
      </c>
      <c r="T59">
        <v>1980</v>
      </c>
      <c r="U59">
        <v>17.8</v>
      </c>
    </row>
    <row r="60" spans="16:21">
      <c r="P60" t="s">
        <v>25</v>
      </c>
      <c r="Q60">
        <v>6853800</v>
      </c>
      <c r="R60">
        <v>60</v>
      </c>
      <c r="S60">
        <v>54716</v>
      </c>
      <c r="T60">
        <v>1981</v>
      </c>
      <c r="U60">
        <v>18.5</v>
      </c>
    </row>
    <row r="61" spans="16:21">
      <c r="P61" t="s">
        <v>25</v>
      </c>
      <c r="Q61">
        <v>6853800</v>
      </c>
      <c r="R61">
        <v>60</v>
      </c>
      <c r="S61">
        <v>54716</v>
      </c>
      <c r="T61">
        <v>1982</v>
      </c>
      <c r="U61">
        <v>23.8</v>
      </c>
    </row>
    <row r="62" spans="16:21">
      <c r="P62" t="s">
        <v>25</v>
      </c>
      <c r="Q62">
        <v>6853800</v>
      </c>
      <c r="R62">
        <v>60</v>
      </c>
      <c r="S62">
        <v>54716</v>
      </c>
      <c r="T62">
        <v>1983</v>
      </c>
      <c r="U62">
        <v>15.9</v>
      </c>
    </row>
    <row r="63" spans="16:21">
      <c r="P63" t="s">
        <v>25</v>
      </c>
      <c r="Q63">
        <v>6853800</v>
      </c>
      <c r="R63">
        <v>60</v>
      </c>
      <c r="S63">
        <v>54716</v>
      </c>
      <c r="T63">
        <v>1984</v>
      </c>
      <c r="U63">
        <v>40.1</v>
      </c>
    </row>
    <row r="64" spans="16:21">
      <c r="P64" t="s">
        <v>25</v>
      </c>
      <c r="Q64">
        <v>6853800</v>
      </c>
      <c r="R64">
        <v>60</v>
      </c>
      <c r="S64">
        <v>54716</v>
      </c>
      <c r="T64">
        <v>1985</v>
      </c>
      <c r="U64">
        <v>40.799999999999997</v>
      </c>
    </row>
    <row r="65" spans="16:21">
      <c r="P65" t="s">
        <v>25</v>
      </c>
      <c r="Q65">
        <v>6853800</v>
      </c>
      <c r="R65">
        <v>60</v>
      </c>
      <c r="S65">
        <v>54716</v>
      </c>
      <c r="T65">
        <v>1986</v>
      </c>
      <c r="U65">
        <v>22.7</v>
      </c>
    </row>
    <row r="66" spans="16:21">
      <c r="P66" t="s">
        <v>25</v>
      </c>
      <c r="Q66">
        <v>6853800</v>
      </c>
      <c r="R66">
        <v>60</v>
      </c>
      <c r="S66">
        <v>54716</v>
      </c>
      <c r="T66">
        <v>1987</v>
      </c>
      <c r="U66">
        <v>73.400000000000006</v>
      </c>
    </row>
    <row r="67" spans="16:21">
      <c r="P67" t="s">
        <v>25</v>
      </c>
      <c r="Q67">
        <v>6853800</v>
      </c>
      <c r="R67">
        <v>60</v>
      </c>
      <c r="S67">
        <v>54716</v>
      </c>
      <c r="T67">
        <v>1988</v>
      </c>
      <c r="U67">
        <v>29.1</v>
      </c>
    </row>
    <row r="68" spans="16:21">
      <c r="P68" t="s">
        <v>25</v>
      </c>
      <c r="Q68">
        <v>6853800</v>
      </c>
      <c r="R68">
        <v>60</v>
      </c>
      <c r="S68">
        <v>54716</v>
      </c>
      <c r="T68">
        <v>1989</v>
      </c>
      <c r="U68">
        <v>26.8</v>
      </c>
    </row>
    <row r="69" spans="16:21">
      <c r="P69" t="s">
        <v>25</v>
      </c>
      <c r="Q69">
        <v>6853800</v>
      </c>
      <c r="R69">
        <v>60</v>
      </c>
      <c r="S69">
        <v>54716</v>
      </c>
      <c r="T69">
        <v>1990</v>
      </c>
      <c r="U69">
        <v>19</v>
      </c>
    </row>
    <row r="70" spans="16:21">
      <c r="P70" t="s">
        <v>25</v>
      </c>
      <c r="Q70">
        <v>6853800</v>
      </c>
      <c r="R70">
        <v>60</v>
      </c>
      <c r="S70">
        <v>54716</v>
      </c>
      <c r="T70">
        <v>1991</v>
      </c>
      <c r="U70">
        <v>4.9400000000000004</v>
      </c>
    </row>
    <row r="71" spans="16:21">
      <c r="P71" t="s">
        <v>25</v>
      </c>
      <c r="Q71">
        <v>6853800</v>
      </c>
      <c r="R71">
        <v>60</v>
      </c>
      <c r="S71">
        <v>54716</v>
      </c>
      <c r="T71">
        <v>1992</v>
      </c>
      <c r="U71">
        <v>18.5</v>
      </c>
    </row>
    <row r="72" spans="16:21">
      <c r="P72" t="s">
        <v>25</v>
      </c>
      <c r="Q72">
        <v>6853800</v>
      </c>
      <c r="R72">
        <v>60</v>
      </c>
      <c r="S72">
        <v>54716</v>
      </c>
      <c r="T72">
        <v>1993</v>
      </c>
      <c r="U72">
        <v>135.80000000000001</v>
      </c>
    </row>
    <row r="73" spans="16:21">
      <c r="P73" t="s">
        <v>25</v>
      </c>
      <c r="Q73">
        <v>6853800</v>
      </c>
      <c r="R73">
        <v>60</v>
      </c>
      <c r="S73">
        <v>54716</v>
      </c>
      <c r="T73">
        <v>1994</v>
      </c>
      <c r="U73">
        <v>34.9</v>
      </c>
    </row>
    <row r="74" spans="16:21">
      <c r="P74" t="s">
        <v>25</v>
      </c>
      <c r="Q74">
        <v>6853800</v>
      </c>
      <c r="R74">
        <v>60</v>
      </c>
      <c r="S74">
        <v>54716</v>
      </c>
      <c r="T74">
        <v>1995</v>
      </c>
      <c r="U74">
        <v>28</v>
      </c>
    </row>
    <row r="75" spans="16:21">
      <c r="P75" t="s">
        <v>25</v>
      </c>
      <c r="Q75">
        <v>6853800</v>
      </c>
      <c r="R75">
        <v>60</v>
      </c>
      <c r="S75">
        <v>54716</v>
      </c>
      <c r="T75">
        <v>1996</v>
      </c>
      <c r="U75">
        <v>14.9</v>
      </c>
    </row>
    <row r="76" spans="16:21">
      <c r="P76" t="s">
        <v>25</v>
      </c>
      <c r="Q76">
        <v>6853800</v>
      </c>
      <c r="R76">
        <v>60</v>
      </c>
      <c r="S76">
        <v>54716</v>
      </c>
      <c r="T76">
        <v>1997</v>
      </c>
      <c r="U76">
        <v>38.200000000000003</v>
      </c>
    </row>
    <row r="77" spans="16:21">
      <c r="P77" t="s">
        <v>25</v>
      </c>
      <c r="Q77">
        <v>6853800</v>
      </c>
      <c r="R77">
        <v>60</v>
      </c>
      <c r="S77">
        <v>54716</v>
      </c>
      <c r="T77">
        <v>1998</v>
      </c>
      <c r="U77">
        <v>47.8</v>
      </c>
    </row>
    <row r="78" spans="16:21">
      <c r="P78" t="s">
        <v>25</v>
      </c>
      <c r="Q78">
        <v>6853800</v>
      </c>
      <c r="R78">
        <v>60</v>
      </c>
      <c r="S78">
        <v>54716</v>
      </c>
      <c r="T78">
        <v>1999</v>
      </c>
      <c r="U78">
        <v>24.4</v>
      </c>
    </row>
    <row r="79" spans="16:21">
      <c r="P79" t="s">
        <v>25</v>
      </c>
      <c r="Q79">
        <v>6853800</v>
      </c>
      <c r="R79">
        <v>60</v>
      </c>
      <c r="S79">
        <v>54716</v>
      </c>
      <c r="T79">
        <v>2000</v>
      </c>
      <c r="U79">
        <v>7.34</v>
      </c>
    </row>
    <row r="80" spans="16:21">
      <c r="P80" t="s">
        <v>25</v>
      </c>
      <c r="Q80">
        <v>6853800</v>
      </c>
      <c r="R80">
        <v>60</v>
      </c>
      <c r="S80">
        <v>54716</v>
      </c>
      <c r="T80">
        <v>2001</v>
      </c>
      <c r="U80">
        <v>30.8</v>
      </c>
    </row>
    <row r="81" spans="16:21">
      <c r="P81" t="s">
        <v>25</v>
      </c>
      <c r="Q81">
        <v>6853800</v>
      </c>
      <c r="R81">
        <v>60</v>
      </c>
      <c r="S81">
        <v>54716</v>
      </c>
      <c r="T81">
        <v>2002</v>
      </c>
      <c r="U81">
        <v>7.84</v>
      </c>
    </row>
    <row r="82" spans="16:21">
      <c r="P82" t="s">
        <v>25</v>
      </c>
      <c r="Q82">
        <v>6853800</v>
      </c>
      <c r="R82">
        <v>60</v>
      </c>
      <c r="S82">
        <v>54716</v>
      </c>
      <c r="T82">
        <v>2003</v>
      </c>
      <c r="U82">
        <v>2.71</v>
      </c>
    </row>
    <row r="83" spans="16:21">
      <c r="P83" t="s">
        <v>25</v>
      </c>
      <c r="Q83">
        <v>6853800</v>
      </c>
      <c r="R83">
        <v>60</v>
      </c>
      <c r="S83">
        <v>54716</v>
      </c>
      <c r="T83">
        <v>2004</v>
      </c>
      <c r="U83">
        <v>2.74</v>
      </c>
    </row>
    <row r="84" spans="16:21">
      <c r="P84" t="s">
        <v>25</v>
      </c>
      <c r="Q84">
        <v>6853800</v>
      </c>
      <c r="R84">
        <v>60</v>
      </c>
      <c r="S84">
        <v>54716</v>
      </c>
      <c r="T84">
        <v>2005</v>
      </c>
      <c r="U84">
        <v>5.07</v>
      </c>
    </row>
    <row r="85" spans="16:21">
      <c r="P85" t="s">
        <v>25</v>
      </c>
      <c r="Q85">
        <v>6853800</v>
      </c>
      <c r="R85">
        <v>60</v>
      </c>
      <c r="S85">
        <v>54716</v>
      </c>
      <c r="T85">
        <v>2006</v>
      </c>
      <c r="U85">
        <v>2.52</v>
      </c>
    </row>
    <row r="86" spans="16:21">
      <c r="P86" t="s">
        <v>25</v>
      </c>
      <c r="Q86">
        <v>6853800</v>
      </c>
      <c r="R86">
        <v>60</v>
      </c>
      <c r="S86">
        <v>54716</v>
      </c>
      <c r="T86">
        <v>2007</v>
      </c>
      <c r="U86">
        <v>8.2899999999999991</v>
      </c>
    </row>
    <row r="87" spans="16:21">
      <c r="P87" t="s">
        <v>25</v>
      </c>
      <c r="Q87">
        <v>6853800</v>
      </c>
      <c r="R87">
        <v>60</v>
      </c>
      <c r="S87">
        <v>54716</v>
      </c>
      <c r="T87">
        <v>2008</v>
      </c>
      <c r="U87">
        <v>39.1</v>
      </c>
    </row>
    <row r="88" spans="16:21">
      <c r="P88" t="s">
        <v>25</v>
      </c>
      <c r="Q88">
        <v>6853800</v>
      </c>
      <c r="R88">
        <v>60</v>
      </c>
      <c r="S88">
        <v>54716</v>
      </c>
      <c r="T88">
        <v>2009</v>
      </c>
      <c r="U88">
        <v>33.6</v>
      </c>
    </row>
    <row r="89" spans="16:21">
      <c r="P89" t="s">
        <v>25</v>
      </c>
      <c r="Q89">
        <v>6853800</v>
      </c>
      <c r="R89">
        <v>60</v>
      </c>
      <c r="S89">
        <v>54716</v>
      </c>
      <c r="T89">
        <v>2010</v>
      </c>
      <c r="U89">
        <v>38.5</v>
      </c>
    </row>
    <row r="90" spans="16:21">
      <c r="P90" t="s">
        <v>25</v>
      </c>
      <c r="Q90">
        <v>6853800</v>
      </c>
      <c r="R90">
        <v>60</v>
      </c>
      <c r="S90">
        <v>54716</v>
      </c>
      <c r="T90">
        <v>2011</v>
      </c>
      <c r="U90">
        <v>76.900000000000006</v>
      </c>
    </row>
    <row r="91" spans="16:21">
      <c r="P91" t="s">
        <v>25</v>
      </c>
      <c r="Q91">
        <v>6853800</v>
      </c>
      <c r="R91">
        <v>60</v>
      </c>
      <c r="S91">
        <v>54716</v>
      </c>
      <c r="T91">
        <v>2012</v>
      </c>
      <c r="U91">
        <v>11.9</v>
      </c>
    </row>
    <row r="92" spans="16:21">
      <c r="P92" t="s">
        <v>25</v>
      </c>
      <c r="Q92">
        <v>6853800</v>
      </c>
      <c r="R92">
        <v>60</v>
      </c>
      <c r="S92">
        <v>54716</v>
      </c>
      <c r="T92">
        <v>2013</v>
      </c>
      <c r="U92">
        <v>3.56</v>
      </c>
    </row>
    <row r="93" spans="16:21">
      <c r="P93" t="s">
        <v>25</v>
      </c>
      <c r="Q93">
        <v>6853800</v>
      </c>
      <c r="R93">
        <v>60</v>
      </c>
      <c r="S93">
        <v>54716</v>
      </c>
      <c r="T93">
        <v>2014</v>
      </c>
      <c r="U93">
        <v>7.88</v>
      </c>
    </row>
    <row r="94" spans="16:21">
      <c r="P94" t="s">
        <v>25</v>
      </c>
      <c r="Q94">
        <v>6853800</v>
      </c>
      <c r="R94">
        <v>60</v>
      </c>
      <c r="S94">
        <v>54716</v>
      </c>
      <c r="T94">
        <v>2015</v>
      </c>
      <c r="U94">
        <v>19.7</v>
      </c>
    </row>
    <row r="95" spans="16:21">
      <c r="P95" t="s">
        <v>25</v>
      </c>
      <c r="Q95">
        <v>6853800</v>
      </c>
      <c r="R95">
        <v>60</v>
      </c>
      <c r="S95">
        <v>54716</v>
      </c>
      <c r="T95">
        <v>2016</v>
      </c>
      <c r="U95">
        <v>13.3</v>
      </c>
    </row>
    <row r="96" spans="16:21">
      <c r="P96" t="s">
        <v>25</v>
      </c>
      <c r="Q96">
        <v>6853800</v>
      </c>
      <c r="R96">
        <v>60</v>
      </c>
      <c r="S96">
        <v>54716</v>
      </c>
      <c r="T96">
        <v>2017</v>
      </c>
      <c r="U96">
        <v>26.2</v>
      </c>
    </row>
    <row r="97" spans="16:21">
      <c r="P97" t="s">
        <v>25</v>
      </c>
      <c r="Q97">
        <v>6853800</v>
      </c>
      <c r="R97">
        <v>60</v>
      </c>
      <c r="S97">
        <v>54716</v>
      </c>
      <c r="T97">
        <v>2018</v>
      </c>
      <c r="U97">
        <v>17.8</v>
      </c>
    </row>
    <row r="98" spans="16:21">
      <c r="P98" t="s">
        <v>25</v>
      </c>
      <c r="Q98">
        <v>6853800</v>
      </c>
      <c r="R98">
        <v>60</v>
      </c>
      <c r="S98">
        <v>54716</v>
      </c>
      <c r="T98">
        <v>2019</v>
      </c>
      <c r="U98">
        <v>78.3</v>
      </c>
    </row>
    <row r="99" spans="16:21">
      <c r="P99" t="s">
        <v>25</v>
      </c>
      <c r="Q99">
        <v>6853800</v>
      </c>
      <c r="R99">
        <v>60</v>
      </c>
      <c r="S99">
        <v>54716</v>
      </c>
      <c r="T99">
        <v>2020</v>
      </c>
      <c r="U99">
        <v>39.9</v>
      </c>
    </row>
    <row r="100" spans="16:21">
      <c r="P100" t="s">
        <v>25</v>
      </c>
      <c r="Q100">
        <v>6853800</v>
      </c>
      <c r="R100">
        <v>60</v>
      </c>
      <c r="S100">
        <v>54716</v>
      </c>
      <c r="T100">
        <v>2021</v>
      </c>
      <c r="U100">
        <v>24.9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80"/>
  <sheetViews>
    <sheetView topLeftCell="A61" workbookViewId="0">
      <selection activeCell="A80" sqref="A80"/>
    </sheetView>
  </sheetViews>
  <sheetFormatPr defaultRowHeight="13.2"/>
  <sheetData>
    <row r="1" spans="1:16">
      <c r="O1">
        <f>24*3600</f>
        <v>86400</v>
      </c>
      <c r="P1" s="10" t="s">
        <v>40</v>
      </c>
    </row>
    <row r="2" spans="1:16">
      <c r="A2" s="10" t="s">
        <v>149</v>
      </c>
      <c r="B2">
        <v>31</v>
      </c>
      <c r="C2">
        <v>28.25</v>
      </c>
      <c r="D2">
        <v>31</v>
      </c>
      <c r="E2">
        <v>30</v>
      </c>
      <c r="F2">
        <v>31</v>
      </c>
      <c r="G2">
        <v>30</v>
      </c>
      <c r="H2">
        <v>31</v>
      </c>
      <c r="I2">
        <v>31</v>
      </c>
      <c r="J2">
        <v>30</v>
      </c>
      <c r="K2">
        <v>31</v>
      </c>
      <c r="L2">
        <v>30</v>
      </c>
      <c r="M2">
        <v>31</v>
      </c>
      <c r="O2">
        <f>5280^2/640</f>
        <v>43560</v>
      </c>
      <c r="P2" s="10" t="s">
        <v>150</v>
      </c>
    </row>
    <row r="3" spans="1:16">
      <c r="A3" t="s">
        <v>22</v>
      </c>
      <c r="O3">
        <f>O1/O2</f>
        <v>1.9834710743801653</v>
      </c>
      <c r="P3" s="10" t="s">
        <v>44</v>
      </c>
    </row>
    <row r="4" spans="1:16" ht="15.6">
      <c r="A4" s="119" t="s">
        <v>5</v>
      </c>
      <c r="B4" s="121" t="s">
        <v>6</v>
      </c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3"/>
      <c r="O4" s="38" t="s">
        <v>153</v>
      </c>
      <c r="P4" s="57" t="s">
        <v>152</v>
      </c>
    </row>
    <row r="5" spans="1:16">
      <c r="A5" s="120"/>
      <c r="B5" s="2" t="s">
        <v>7</v>
      </c>
      <c r="C5" s="2" t="s">
        <v>8</v>
      </c>
      <c r="D5" s="2" t="s">
        <v>9</v>
      </c>
      <c r="E5" s="2" t="s">
        <v>10</v>
      </c>
      <c r="F5" s="2" t="s">
        <v>11</v>
      </c>
      <c r="G5" s="2" t="s">
        <v>12</v>
      </c>
      <c r="H5" s="2" t="s">
        <v>13</v>
      </c>
      <c r="I5" s="2" t="s">
        <v>14</v>
      </c>
      <c r="J5" s="2" t="s">
        <v>15</v>
      </c>
      <c r="K5" s="2" t="s">
        <v>16</v>
      </c>
      <c r="L5" s="2" t="s">
        <v>17</v>
      </c>
      <c r="M5" s="2" t="s">
        <v>18</v>
      </c>
      <c r="N5" s="56" t="s">
        <v>151</v>
      </c>
    </row>
    <row r="6" spans="1:16">
      <c r="A6" s="2">
        <v>1957</v>
      </c>
      <c r="B6" s="3"/>
      <c r="C6" s="3"/>
      <c r="D6" s="3"/>
      <c r="E6" s="3"/>
      <c r="F6" s="3"/>
      <c r="G6" s="3"/>
      <c r="H6" s="3"/>
      <c r="I6" s="3"/>
      <c r="J6" s="3"/>
      <c r="K6" s="3">
        <v>6.0000000000000001E-3</v>
      </c>
      <c r="L6" s="3">
        <v>0.13</v>
      </c>
      <c r="M6" s="3">
        <v>0.36</v>
      </c>
    </row>
    <row r="7" spans="1:16">
      <c r="A7" s="2">
        <v>1958</v>
      </c>
      <c r="B7" s="3">
        <v>0.47</v>
      </c>
      <c r="C7" s="3">
        <v>1.03</v>
      </c>
      <c r="D7" s="3">
        <v>3.85</v>
      </c>
      <c r="E7" s="3">
        <v>10.6</v>
      </c>
      <c r="F7" s="3">
        <v>5.32</v>
      </c>
      <c r="G7" s="3">
        <v>3.33</v>
      </c>
      <c r="H7" s="3">
        <v>84.9</v>
      </c>
      <c r="I7" s="3">
        <v>36.5</v>
      </c>
      <c r="J7" s="3">
        <v>30.3</v>
      </c>
      <c r="K7" s="3">
        <v>0.02</v>
      </c>
      <c r="L7" s="3">
        <v>0.12</v>
      </c>
      <c r="M7" s="3">
        <v>0.38</v>
      </c>
      <c r="N7" s="9">
        <f>$O$3*SUMPRODUCT($B$2:$M$2,$B7:$M7)</f>
        <v>10778.652892561984</v>
      </c>
    </row>
    <row r="8" spans="1:16">
      <c r="A8" s="2">
        <v>1959</v>
      </c>
      <c r="B8" s="3">
        <v>0.64</v>
      </c>
      <c r="C8" s="3">
        <v>16</v>
      </c>
      <c r="D8" s="3">
        <v>4.3</v>
      </c>
      <c r="E8" s="3">
        <v>1.29</v>
      </c>
      <c r="F8" s="3">
        <v>101</v>
      </c>
      <c r="G8" s="3">
        <v>12.1</v>
      </c>
      <c r="H8" s="3">
        <v>14.7</v>
      </c>
      <c r="I8" s="3">
        <v>7.0000000000000001E-3</v>
      </c>
      <c r="J8" s="3">
        <v>15.9</v>
      </c>
      <c r="K8" s="3">
        <v>66.7</v>
      </c>
      <c r="L8" s="3">
        <v>0.41</v>
      </c>
      <c r="M8" s="3">
        <v>0.62</v>
      </c>
      <c r="N8" s="9">
        <f>$O$3*SUMPRODUCT($B$2:$M$2,$B8:$M8)</f>
        <v>14221.441983471077</v>
      </c>
    </row>
    <row r="9" spans="1:16">
      <c r="A9" s="2">
        <v>1960</v>
      </c>
      <c r="B9" s="3">
        <v>0.99</v>
      </c>
      <c r="C9" s="3">
        <v>5.18</v>
      </c>
      <c r="D9" s="3">
        <v>123</v>
      </c>
      <c r="E9" s="3">
        <v>71.2</v>
      </c>
      <c r="F9" s="3">
        <v>51.3</v>
      </c>
      <c r="G9" s="3">
        <v>177</v>
      </c>
      <c r="H9" s="3">
        <v>6.97</v>
      </c>
      <c r="I9" s="3">
        <v>38.1</v>
      </c>
      <c r="J9" s="3">
        <v>1.65</v>
      </c>
      <c r="K9" s="3">
        <v>1.29</v>
      </c>
      <c r="L9" s="3">
        <v>1.92</v>
      </c>
      <c r="M9" s="3">
        <v>2.44</v>
      </c>
      <c r="N9" s="9">
        <f>$O$3*SUMPRODUCT($B$2:$M$2,$B9:$M9)</f>
        <v>29050.36363636364</v>
      </c>
    </row>
    <row r="10" spans="1:16">
      <c r="A10" s="2">
        <v>1961</v>
      </c>
      <c r="B10" s="3">
        <v>2.52</v>
      </c>
      <c r="C10" s="3">
        <v>3.8</v>
      </c>
      <c r="D10" s="3">
        <v>3.96</v>
      </c>
      <c r="E10" s="3">
        <v>3.41</v>
      </c>
      <c r="F10" s="3">
        <v>84.2</v>
      </c>
      <c r="G10" s="3">
        <v>257</v>
      </c>
      <c r="H10" s="3">
        <v>5.14</v>
      </c>
      <c r="I10" s="3">
        <v>42.8</v>
      </c>
      <c r="J10" s="3">
        <v>92.2</v>
      </c>
      <c r="K10" s="3">
        <v>14.8</v>
      </c>
      <c r="L10" s="3">
        <v>10.4</v>
      </c>
      <c r="M10" s="3">
        <v>6.71</v>
      </c>
      <c r="N10" s="9">
        <f t="shared" ref="N10:N65" si="0">$O$3*SUMPRODUCT($B$2:$M$2,$B10:$M10)</f>
        <v>31659.530578512393</v>
      </c>
    </row>
    <row r="11" spans="1:16">
      <c r="A11" s="2">
        <v>1962</v>
      </c>
      <c r="B11" s="3">
        <v>125</v>
      </c>
      <c r="C11" s="3">
        <v>28.1</v>
      </c>
      <c r="D11" s="3">
        <v>39.1</v>
      </c>
      <c r="E11" s="3">
        <v>8.93</v>
      </c>
      <c r="F11" s="3">
        <v>27.8</v>
      </c>
      <c r="G11" s="3">
        <v>149</v>
      </c>
      <c r="H11" s="3">
        <v>81.900000000000006</v>
      </c>
      <c r="I11" s="3">
        <v>47.2</v>
      </c>
      <c r="J11" s="3">
        <v>27.5</v>
      </c>
      <c r="K11" s="3">
        <v>24.8</v>
      </c>
      <c r="L11" s="3">
        <v>9.0299999999999994</v>
      </c>
      <c r="M11" s="3">
        <v>7.89</v>
      </c>
      <c r="N11" s="9">
        <f t="shared" si="0"/>
        <v>34893.252892561992</v>
      </c>
    </row>
    <row r="12" spans="1:16">
      <c r="A12" s="2">
        <v>1963</v>
      </c>
      <c r="B12" s="3">
        <v>6.43</v>
      </c>
      <c r="C12" s="3">
        <v>8.89</v>
      </c>
      <c r="D12" s="3">
        <v>11.6</v>
      </c>
      <c r="E12" s="3">
        <v>17.8</v>
      </c>
      <c r="F12" s="3">
        <v>9.64</v>
      </c>
      <c r="G12" s="3">
        <v>23.3</v>
      </c>
      <c r="H12" s="3">
        <v>19.8</v>
      </c>
      <c r="I12" s="3">
        <v>3.9</v>
      </c>
      <c r="J12" s="3">
        <v>220</v>
      </c>
      <c r="K12" s="3">
        <v>4.6399999999999997</v>
      </c>
      <c r="L12" s="3">
        <v>4.5199999999999996</v>
      </c>
      <c r="M12" s="3">
        <v>4.21</v>
      </c>
      <c r="N12" s="9">
        <f t="shared" si="0"/>
        <v>20006.404958677685</v>
      </c>
    </row>
    <row r="13" spans="1:16">
      <c r="A13" s="2">
        <v>1964</v>
      </c>
      <c r="B13" s="3">
        <v>5.45</v>
      </c>
      <c r="C13" s="3">
        <v>5.51</v>
      </c>
      <c r="D13" s="3">
        <v>6.45</v>
      </c>
      <c r="E13" s="3">
        <v>5.25</v>
      </c>
      <c r="F13" s="3">
        <v>4.22</v>
      </c>
      <c r="G13" s="3">
        <v>2.9</v>
      </c>
      <c r="H13" s="3">
        <v>2.4</v>
      </c>
      <c r="I13" s="3">
        <v>51.4</v>
      </c>
      <c r="J13" s="3">
        <v>1.69</v>
      </c>
      <c r="K13" s="3">
        <v>0.21</v>
      </c>
      <c r="L13" s="3">
        <v>3.75</v>
      </c>
      <c r="M13" s="3">
        <v>2</v>
      </c>
      <c r="N13" s="9">
        <f t="shared" si="0"/>
        <v>5552.5041322314046</v>
      </c>
    </row>
    <row r="14" spans="1:16">
      <c r="A14" s="2">
        <v>1965</v>
      </c>
      <c r="B14" s="3">
        <v>2.17</v>
      </c>
      <c r="C14" s="3">
        <v>98.8</v>
      </c>
      <c r="D14" s="3">
        <v>30.7</v>
      </c>
      <c r="E14" s="3">
        <v>41.5</v>
      </c>
      <c r="F14" s="3">
        <v>22.9</v>
      </c>
      <c r="G14" s="3">
        <v>178</v>
      </c>
      <c r="H14" s="3">
        <v>120</v>
      </c>
      <c r="I14" s="3">
        <v>21.1</v>
      </c>
      <c r="J14" s="3">
        <v>116</v>
      </c>
      <c r="K14" s="3">
        <v>7</v>
      </c>
      <c r="L14" s="3">
        <v>4.4800000000000004</v>
      </c>
      <c r="M14" s="3">
        <v>5.78</v>
      </c>
      <c r="N14" s="9">
        <f t="shared" si="0"/>
        <v>38657.157024793392</v>
      </c>
    </row>
    <row r="15" spans="1:16">
      <c r="A15" s="2">
        <v>1966</v>
      </c>
      <c r="B15" s="3">
        <v>4.54</v>
      </c>
      <c r="C15" s="3">
        <v>27.3</v>
      </c>
      <c r="D15" s="3">
        <v>6.34</v>
      </c>
      <c r="E15" s="3">
        <v>4.09</v>
      </c>
      <c r="F15" s="3">
        <v>2.97</v>
      </c>
      <c r="G15" s="3">
        <v>4.45</v>
      </c>
      <c r="H15" s="3">
        <v>5.98</v>
      </c>
      <c r="I15" s="3">
        <v>10.9</v>
      </c>
      <c r="J15" s="3">
        <v>3.61</v>
      </c>
      <c r="K15" s="3">
        <v>0</v>
      </c>
      <c r="L15" s="3">
        <v>0.11</v>
      </c>
      <c r="M15" s="3">
        <v>0.43</v>
      </c>
      <c r="N15" s="9">
        <f t="shared" si="0"/>
        <v>4175.1768595041331</v>
      </c>
    </row>
    <row r="16" spans="1:16">
      <c r="A16" s="2">
        <v>1967</v>
      </c>
      <c r="B16" s="3">
        <v>0.84</v>
      </c>
      <c r="C16" s="3">
        <v>1.39</v>
      </c>
      <c r="D16" s="3">
        <v>1.1200000000000001</v>
      </c>
      <c r="E16" s="3">
        <v>0.89</v>
      </c>
      <c r="F16" s="3">
        <v>1.5</v>
      </c>
      <c r="G16" s="3">
        <v>173</v>
      </c>
      <c r="H16" s="3">
        <v>12.5</v>
      </c>
      <c r="I16" s="3">
        <v>0.75</v>
      </c>
      <c r="J16" s="3">
        <v>2.73</v>
      </c>
      <c r="K16" s="3">
        <v>1.08</v>
      </c>
      <c r="L16" s="3">
        <v>0.73</v>
      </c>
      <c r="M16" s="3">
        <v>0.66</v>
      </c>
      <c r="N16" s="9">
        <f t="shared" si="0"/>
        <v>11765.390082644626</v>
      </c>
    </row>
    <row r="17" spans="1:14">
      <c r="A17" s="2">
        <v>1968</v>
      </c>
      <c r="B17" s="3">
        <v>0.74</v>
      </c>
      <c r="C17" s="3">
        <v>1.04</v>
      </c>
      <c r="D17" s="3">
        <v>0.75</v>
      </c>
      <c r="E17" s="3">
        <v>1.22</v>
      </c>
      <c r="F17" s="3">
        <v>0.91</v>
      </c>
      <c r="G17" s="3">
        <v>4.3499999999999996</v>
      </c>
      <c r="H17" s="3">
        <v>14.1</v>
      </c>
      <c r="I17" s="3">
        <v>15.9</v>
      </c>
      <c r="J17" s="3">
        <v>17.600000000000001</v>
      </c>
      <c r="K17" s="3">
        <v>22</v>
      </c>
      <c r="L17" s="3">
        <v>8.4000000000000005E-2</v>
      </c>
      <c r="M17" s="3">
        <v>0.21</v>
      </c>
      <c r="N17" s="9">
        <f t="shared" si="0"/>
        <v>4799.8214876033062</v>
      </c>
    </row>
    <row r="18" spans="1:14">
      <c r="A18" s="2">
        <v>1969</v>
      </c>
      <c r="B18" s="3">
        <v>0.32</v>
      </c>
      <c r="C18" s="3">
        <v>63.7</v>
      </c>
      <c r="D18" s="3">
        <v>99.8</v>
      </c>
      <c r="E18" s="3">
        <v>11.4</v>
      </c>
      <c r="F18" s="3">
        <v>47</v>
      </c>
      <c r="G18" s="3">
        <v>4.58</v>
      </c>
      <c r="H18" s="3">
        <v>20.5</v>
      </c>
      <c r="I18" s="3">
        <v>25.5</v>
      </c>
      <c r="J18" s="3">
        <v>12.8</v>
      </c>
      <c r="K18" s="3">
        <v>4.3099999999999996</v>
      </c>
      <c r="L18" s="3">
        <v>2.2799999999999998</v>
      </c>
      <c r="M18" s="3">
        <v>2.0499999999999998</v>
      </c>
      <c r="N18" s="9">
        <f t="shared" si="0"/>
        <v>17683.051239669421</v>
      </c>
    </row>
    <row r="19" spans="1:14">
      <c r="A19" s="2">
        <v>1970</v>
      </c>
      <c r="B19" s="3">
        <v>4.6100000000000003</v>
      </c>
      <c r="C19" s="3">
        <v>4</v>
      </c>
      <c r="D19" s="3">
        <v>3.5</v>
      </c>
      <c r="E19" s="3">
        <v>23</v>
      </c>
      <c r="F19" s="3">
        <v>5.48</v>
      </c>
      <c r="G19" s="3">
        <v>13.4</v>
      </c>
      <c r="H19" s="3">
        <v>0.64</v>
      </c>
      <c r="I19" s="3">
        <v>7.0000000000000001E-3</v>
      </c>
      <c r="J19" s="3">
        <v>0.41</v>
      </c>
      <c r="K19" s="3">
        <v>0.54</v>
      </c>
      <c r="L19" s="3">
        <v>3.69</v>
      </c>
      <c r="M19" s="3">
        <v>0.91</v>
      </c>
      <c r="N19" s="9">
        <f t="shared" si="0"/>
        <v>3598.605619834711</v>
      </c>
    </row>
    <row r="20" spans="1:14">
      <c r="A20" s="2">
        <v>1971</v>
      </c>
      <c r="B20" s="3">
        <v>0.61</v>
      </c>
      <c r="C20" s="3">
        <v>34.299999999999997</v>
      </c>
      <c r="D20" s="3">
        <v>9.34</v>
      </c>
      <c r="E20" s="3">
        <v>3.57</v>
      </c>
      <c r="F20" s="3">
        <v>6.79</v>
      </c>
      <c r="G20" s="3">
        <v>45.5</v>
      </c>
      <c r="H20" s="3">
        <v>11.6</v>
      </c>
      <c r="I20" s="3">
        <v>0.7</v>
      </c>
      <c r="J20" s="3">
        <v>14.2</v>
      </c>
      <c r="K20" s="3">
        <v>0.21</v>
      </c>
      <c r="L20" s="3">
        <v>3.29</v>
      </c>
      <c r="M20" s="3">
        <v>1.25</v>
      </c>
      <c r="N20" s="9">
        <f t="shared" si="0"/>
        <v>7757.9008264462809</v>
      </c>
    </row>
    <row r="21" spans="1:14">
      <c r="A21" s="2">
        <v>1972</v>
      </c>
      <c r="B21" s="3">
        <v>1.1499999999999999</v>
      </c>
      <c r="C21" s="3">
        <v>0.94</v>
      </c>
      <c r="D21" s="3">
        <v>1.59</v>
      </c>
      <c r="E21" s="3">
        <v>1.55</v>
      </c>
      <c r="F21" s="3">
        <v>29.6</v>
      </c>
      <c r="G21" s="3">
        <v>8.2100000000000009</v>
      </c>
      <c r="H21" s="3">
        <v>40.5</v>
      </c>
      <c r="I21" s="3">
        <v>31.2</v>
      </c>
      <c r="J21" s="3">
        <v>4.74</v>
      </c>
      <c r="K21" s="3">
        <v>0.92</v>
      </c>
      <c r="L21" s="3">
        <v>5.07</v>
      </c>
      <c r="M21" s="3">
        <v>4.4400000000000004</v>
      </c>
      <c r="N21" s="9">
        <f t="shared" si="0"/>
        <v>7943.9107438016517</v>
      </c>
    </row>
    <row r="22" spans="1:14">
      <c r="A22" s="2">
        <v>1973</v>
      </c>
      <c r="B22" s="3">
        <v>23</v>
      </c>
      <c r="C22" s="3">
        <v>7.2</v>
      </c>
      <c r="D22" s="3">
        <v>34</v>
      </c>
      <c r="E22" s="3">
        <v>60.1</v>
      </c>
      <c r="F22" s="3">
        <v>42.4</v>
      </c>
      <c r="G22" s="3">
        <v>36.1</v>
      </c>
      <c r="H22" s="3">
        <v>23.8</v>
      </c>
      <c r="I22" s="3">
        <v>11.7</v>
      </c>
      <c r="J22" s="3">
        <v>519</v>
      </c>
      <c r="K22" s="3">
        <v>319</v>
      </c>
      <c r="L22" s="3">
        <v>84.6</v>
      </c>
      <c r="M22" s="3">
        <v>35.299999999999997</v>
      </c>
      <c r="N22" s="9">
        <f t="shared" si="0"/>
        <v>72124.165289256212</v>
      </c>
    </row>
    <row r="23" spans="1:14">
      <c r="A23" s="2">
        <v>1974</v>
      </c>
      <c r="B23" s="3">
        <v>65.5</v>
      </c>
      <c r="C23" s="3">
        <v>40.200000000000003</v>
      </c>
      <c r="D23" s="3">
        <v>32.1</v>
      </c>
      <c r="E23" s="3">
        <v>31.7</v>
      </c>
      <c r="F23" s="3">
        <v>20.100000000000001</v>
      </c>
      <c r="G23" s="3">
        <v>13.2</v>
      </c>
      <c r="H23" s="3">
        <v>5.2</v>
      </c>
      <c r="I23" s="3">
        <v>7.98</v>
      </c>
      <c r="J23" s="3">
        <v>3.58</v>
      </c>
      <c r="K23" s="3">
        <v>3.54</v>
      </c>
      <c r="L23" s="3">
        <v>5.9</v>
      </c>
      <c r="M23" s="3">
        <v>6.03</v>
      </c>
      <c r="N23" s="9">
        <f t="shared" si="0"/>
        <v>14124.297520661157</v>
      </c>
    </row>
    <row r="24" spans="1:14">
      <c r="A24" s="2">
        <v>1975</v>
      </c>
      <c r="B24" s="3">
        <v>6.86</v>
      </c>
      <c r="C24" s="3">
        <v>26.5</v>
      </c>
      <c r="D24" s="3">
        <v>79.099999999999994</v>
      </c>
      <c r="E24" s="3">
        <v>16.600000000000001</v>
      </c>
      <c r="F24" s="3">
        <v>10.199999999999999</v>
      </c>
      <c r="G24" s="3">
        <v>245</v>
      </c>
      <c r="H24" s="3">
        <v>18.600000000000001</v>
      </c>
      <c r="I24" s="3">
        <v>7.46</v>
      </c>
      <c r="J24" s="3">
        <v>1.95</v>
      </c>
      <c r="K24" s="3">
        <v>1.93</v>
      </c>
      <c r="L24" s="3">
        <v>4.46</v>
      </c>
      <c r="M24" s="3">
        <v>5.77</v>
      </c>
      <c r="N24" s="9">
        <f t="shared" si="0"/>
        <v>25421.047933884296</v>
      </c>
    </row>
    <row r="25" spans="1:14">
      <c r="A25" s="2">
        <v>1976</v>
      </c>
      <c r="B25" s="3">
        <v>5.39</v>
      </c>
      <c r="C25" s="3">
        <v>7.2</v>
      </c>
      <c r="D25" s="3">
        <v>9.5399999999999991</v>
      </c>
      <c r="E25" s="3">
        <v>56.1</v>
      </c>
      <c r="F25" s="3">
        <v>10.9</v>
      </c>
      <c r="G25" s="3">
        <v>3.63</v>
      </c>
      <c r="H25" s="3">
        <v>11.7</v>
      </c>
      <c r="I25" s="3">
        <v>0.28000000000000003</v>
      </c>
      <c r="J25" s="3">
        <v>0.11</v>
      </c>
      <c r="K25" s="3">
        <v>0.17</v>
      </c>
      <c r="L25" s="3">
        <v>0.57999999999999996</v>
      </c>
      <c r="M25" s="3">
        <v>1</v>
      </c>
      <c r="N25" s="9">
        <f t="shared" si="0"/>
        <v>6395.4644628099177</v>
      </c>
    </row>
    <row r="26" spans="1:14">
      <c r="A26" s="2">
        <v>1977</v>
      </c>
      <c r="B26" s="3">
        <v>0.73</v>
      </c>
      <c r="C26" s="3">
        <v>2.34</v>
      </c>
      <c r="D26" s="3">
        <v>3.82</v>
      </c>
      <c r="E26" s="3">
        <v>6.47</v>
      </c>
      <c r="F26" s="3">
        <v>15</v>
      </c>
      <c r="G26" s="3">
        <v>10.8</v>
      </c>
      <c r="H26" s="3">
        <v>11.6</v>
      </c>
      <c r="I26" s="3">
        <v>11.1</v>
      </c>
      <c r="J26" s="3">
        <v>0.68</v>
      </c>
      <c r="K26" s="3">
        <v>0.32</v>
      </c>
      <c r="L26" s="3">
        <v>0.77</v>
      </c>
      <c r="M26" s="3">
        <v>0.84</v>
      </c>
      <c r="N26" s="9">
        <f t="shared" si="0"/>
        <v>3914.2115702479341</v>
      </c>
    </row>
    <row r="27" spans="1:14">
      <c r="A27" s="2">
        <v>1978</v>
      </c>
      <c r="B27" s="3">
        <v>0.75</v>
      </c>
      <c r="C27" s="3">
        <v>1.69</v>
      </c>
      <c r="D27" s="3">
        <v>106</v>
      </c>
      <c r="E27" s="3">
        <v>9.6999999999999993</v>
      </c>
      <c r="F27" s="3">
        <v>22.1</v>
      </c>
      <c r="G27" s="3">
        <v>5.76</v>
      </c>
      <c r="H27" s="3">
        <v>16.5</v>
      </c>
      <c r="I27" s="3">
        <v>29.2</v>
      </c>
      <c r="J27" s="3">
        <v>73.5</v>
      </c>
      <c r="K27" s="3">
        <v>0.4</v>
      </c>
      <c r="L27" s="3">
        <v>2.5099999999999998</v>
      </c>
      <c r="M27" s="3">
        <v>2.13</v>
      </c>
      <c r="N27" s="9">
        <f t="shared" si="0"/>
        <v>16425.763636363637</v>
      </c>
    </row>
    <row r="28" spans="1:14">
      <c r="A28" s="2">
        <v>1979</v>
      </c>
      <c r="B28" s="3">
        <v>0.87</v>
      </c>
      <c r="C28" s="3">
        <v>67.099999999999994</v>
      </c>
      <c r="D28" s="3">
        <v>112</v>
      </c>
      <c r="E28" s="3">
        <v>17</v>
      </c>
      <c r="F28" s="3">
        <v>14.7</v>
      </c>
      <c r="G28" s="3">
        <v>30.7</v>
      </c>
      <c r="H28" s="3">
        <v>26.9</v>
      </c>
      <c r="I28" s="3">
        <v>4.8</v>
      </c>
      <c r="J28" s="3">
        <v>2.44</v>
      </c>
      <c r="K28" s="3">
        <v>26.8</v>
      </c>
      <c r="L28" s="3">
        <v>12.1</v>
      </c>
      <c r="M28" s="3">
        <v>3.98</v>
      </c>
      <c r="N28" s="9">
        <f t="shared" si="0"/>
        <v>19149.074380165286</v>
      </c>
    </row>
    <row r="29" spans="1:14">
      <c r="A29" s="2">
        <v>1980</v>
      </c>
      <c r="B29" s="3">
        <v>4.47</v>
      </c>
      <c r="C29" s="3">
        <v>8.2799999999999994</v>
      </c>
      <c r="D29" s="3">
        <v>29.9</v>
      </c>
      <c r="E29" s="3">
        <v>69.3</v>
      </c>
      <c r="F29" s="3">
        <v>14.6</v>
      </c>
      <c r="G29" s="3">
        <v>43.8</v>
      </c>
      <c r="H29" s="3">
        <v>1.1499999999999999</v>
      </c>
      <c r="I29" s="3">
        <v>0.55000000000000004</v>
      </c>
      <c r="J29" s="3">
        <v>0.32</v>
      </c>
      <c r="K29" s="3">
        <v>1.1599999999999999</v>
      </c>
      <c r="L29" s="3">
        <v>1.24</v>
      </c>
      <c r="M29" s="3">
        <v>1.94</v>
      </c>
      <c r="N29" s="9">
        <f t="shared" si="0"/>
        <v>10592.885950413223</v>
      </c>
    </row>
    <row r="30" spans="1:14">
      <c r="A30" s="2">
        <v>1981</v>
      </c>
      <c r="B30" s="3">
        <v>2.34</v>
      </c>
      <c r="C30" s="3">
        <v>3.18</v>
      </c>
      <c r="D30" s="3">
        <v>5.22</v>
      </c>
      <c r="E30" s="3">
        <v>3.56</v>
      </c>
      <c r="F30" s="3">
        <v>141</v>
      </c>
      <c r="G30" s="3">
        <v>17.3</v>
      </c>
      <c r="H30" s="3">
        <v>19.3</v>
      </c>
      <c r="I30" s="3">
        <v>19.899999999999999</v>
      </c>
      <c r="J30" s="3">
        <v>2.85</v>
      </c>
      <c r="K30" s="3">
        <v>1.46</v>
      </c>
      <c r="L30" s="3">
        <v>4.37</v>
      </c>
      <c r="M30" s="3">
        <v>8.19</v>
      </c>
      <c r="N30" s="9">
        <f t="shared" si="0"/>
        <v>13987.328925619837</v>
      </c>
    </row>
    <row r="31" spans="1:14">
      <c r="A31" s="2">
        <v>1982</v>
      </c>
      <c r="B31" s="3">
        <v>3.62</v>
      </c>
      <c r="C31" s="3">
        <v>24</v>
      </c>
      <c r="D31" s="3">
        <v>27</v>
      </c>
      <c r="E31" s="3">
        <v>10</v>
      </c>
      <c r="F31" s="3">
        <v>125</v>
      </c>
      <c r="G31" s="3">
        <v>31</v>
      </c>
      <c r="H31" s="3">
        <v>39.299999999999997</v>
      </c>
      <c r="I31" s="3">
        <v>6.28</v>
      </c>
      <c r="J31" s="3">
        <v>3.67</v>
      </c>
      <c r="K31" s="3">
        <v>8.23</v>
      </c>
      <c r="L31" s="3">
        <v>8.3000000000000007</v>
      </c>
      <c r="M31" s="3">
        <v>8.9</v>
      </c>
      <c r="N31" s="9">
        <f t="shared" si="0"/>
        <v>17921.31570247934</v>
      </c>
    </row>
    <row r="32" spans="1:14">
      <c r="A32" s="2">
        <v>1983</v>
      </c>
      <c r="B32" s="3">
        <v>11.4</v>
      </c>
      <c r="C32" s="3">
        <v>23.6</v>
      </c>
      <c r="D32" s="3">
        <v>17.5</v>
      </c>
      <c r="E32" s="3">
        <v>17.3</v>
      </c>
      <c r="F32" s="3">
        <v>48.5</v>
      </c>
      <c r="G32" s="3">
        <v>24.2</v>
      </c>
      <c r="H32" s="3">
        <v>6.21</v>
      </c>
      <c r="I32" s="3">
        <v>3.23</v>
      </c>
      <c r="J32" s="3">
        <v>14.8</v>
      </c>
      <c r="K32" s="3">
        <v>39.1</v>
      </c>
      <c r="L32" s="3">
        <v>7.87</v>
      </c>
      <c r="M32" s="3">
        <v>7.88</v>
      </c>
      <c r="N32" s="9">
        <f t="shared" si="0"/>
        <v>13369.03140495868</v>
      </c>
    </row>
    <row r="33" spans="1:14">
      <c r="A33" s="2">
        <v>1984</v>
      </c>
      <c r="B33" s="3">
        <v>27.4</v>
      </c>
      <c r="C33" s="3">
        <v>36.6</v>
      </c>
      <c r="D33" s="3">
        <v>36.9</v>
      </c>
      <c r="E33" s="3">
        <v>129</v>
      </c>
      <c r="F33" s="3">
        <v>96.5</v>
      </c>
      <c r="G33" s="3">
        <v>74.599999999999994</v>
      </c>
      <c r="H33" s="3">
        <v>20.100000000000001</v>
      </c>
      <c r="I33" s="3">
        <v>3.95</v>
      </c>
      <c r="J33" s="3">
        <v>3.41</v>
      </c>
      <c r="K33" s="3">
        <v>6.33</v>
      </c>
      <c r="L33" s="3">
        <v>6.78</v>
      </c>
      <c r="M33" s="3">
        <v>12</v>
      </c>
      <c r="N33" s="9">
        <f t="shared" si="0"/>
        <v>27265.249586776859</v>
      </c>
    </row>
    <row r="34" spans="1:14">
      <c r="A34" s="2">
        <v>1985</v>
      </c>
      <c r="B34" s="3">
        <v>12.4</v>
      </c>
      <c r="C34" s="3">
        <v>44.7</v>
      </c>
      <c r="D34" s="3">
        <v>20.7</v>
      </c>
      <c r="E34" s="3">
        <v>29</v>
      </c>
      <c r="F34" s="3">
        <v>174</v>
      </c>
      <c r="G34" s="3">
        <v>25.8</v>
      </c>
      <c r="H34" s="3">
        <v>40</v>
      </c>
      <c r="I34" s="3">
        <v>101</v>
      </c>
      <c r="J34" s="3">
        <v>14.2</v>
      </c>
      <c r="K34" s="3">
        <v>18.8</v>
      </c>
      <c r="L34" s="3">
        <v>14.2</v>
      </c>
      <c r="M34" s="3">
        <v>16.399999999999999</v>
      </c>
      <c r="N34" s="9">
        <f t="shared" si="0"/>
        <v>31023.619834710742</v>
      </c>
    </row>
    <row r="35" spans="1:14">
      <c r="A35" s="2">
        <v>1986</v>
      </c>
      <c r="B35" s="3">
        <v>18.7</v>
      </c>
      <c r="C35" s="3">
        <v>18.399999999999999</v>
      </c>
      <c r="D35" s="3">
        <v>17.7</v>
      </c>
      <c r="E35" s="3">
        <v>42.2</v>
      </c>
      <c r="F35" s="3">
        <v>45.8</v>
      </c>
      <c r="G35" s="3">
        <v>15.6</v>
      </c>
      <c r="H35" s="3">
        <v>7.29</v>
      </c>
      <c r="I35" s="3">
        <v>14.5</v>
      </c>
      <c r="J35" s="3">
        <v>44</v>
      </c>
      <c r="K35" s="3">
        <v>87.9</v>
      </c>
      <c r="L35" s="3">
        <v>16.899999999999999</v>
      </c>
      <c r="M35" s="3">
        <v>20.399999999999999</v>
      </c>
      <c r="N35" s="9">
        <f t="shared" si="0"/>
        <v>21147.352066115702</v>
      </c>
    </row>
    <row r="36" spans="1:14">
      <c r="A36" s="2">
        <v>1987</v>
      </c>
      <c r="B36" s="3">
        <v>17.5</v>
      </c>
      <c r="C36" s="3">
        <v>18.600000000000001</v>
      </c>
      <c r="D36" s="3">
        <v>183</v>
      </c>
      <c r="E36" s="3">
        <v>236</v>
      </c>
      <c r="F36" s="3">
        <v>131</v>
      </c>
      <c r="G36" s="3">
        <v>102</v>
      </c>
      <c r="H36" s="3">
        <v>34.6</v>
      </c>
      <c r="I36" s="3">
        <v>18.7</v>
      </c>
      <c r="J36" s="3">
        <v>10.9</v>
      </c>
      <c r="K36" s="3">
        <v>11.3</v>
      </c>
      <c r="L36" s="3">
        <v>16.399999999999999</v>
      </c>
      <c r="M36" s="3">
        <v>20.9</v>
      </c>
      <c r="N36" s="9">
        <f t="shared" si="0"/>
        <v>48419.404958677689</v>
      </c>
    </row>
    <row r="37" spans="1:14">
      <c r="A37" s="2">
        <v>1988</v>
      </c>
      <c r="B37" s="3">
        <v>29.4</v>
      </c>
      <c r="C37" s="3">
        <v>37.9</v>
      </c>
      <c r="D37" s="3">
        <v>21</v>
      </c>
      <c r="E37" s="3">
        <v>18.3</v>
      </c>
      <c r="F37" s="3">
        <v>14.7</v>
      </c>
      <c r="G37" s="3">
        <v>5.26</v>
      </c>
      <c r="H37" s="3">
        <v>157</v>
      </c>
      <c r="I37" s="3">
        <v>12.7</v>
      </c>
      <c r="J37" s="3">
        <v>2.71</v>
      </c>
      <c r="K37" s="3">
        <v>2.11</v>
      </c>
      <c r="L37" s="3">
        <v>5.42</v>
      </c>
      <c r="M37" s="3">
        <v>6.15</v>
      </c>
      <c r="N37" s="9">
        <f t="shared" si="0"/>
        <v>18954.515702479341</v>
      </c>
    </row>
    <row r="38" spans="1:14">
      <c r="A38" s="2">
        <v>1989</v>
      </c>
      <c r="B38" s="3">
        <v>7.67</v>
      </c>
      <c r="C38" s="3">
        <v>8.3800000000000008</v>
      </c>
      <c r="D38" s="3">
        <v>9.0500000000000007</v>
      </c>
      <c r="E38" s="3">
        <v>7.18</v>
      </c>
      <c r="F38" s="3">
        <v>6.19</v>
      </c>
      <c r="G38" s="3">
        <v>31.8</v>
      </c>
      <c r="H38" s="3">
        <v>217</v>
      </c>
      <c r="I38" s="3">
        <v>12.3</v>
      </c>
      <c r="J38" s="3">
        <v>4.46</v>
      </c>
      <c r="K38" s="3">
        <v>2.16</v>
      </c>
      <c r="L38" s="3">
        <v>3.49</v>
      </c>
      <c r="M38" s="3">
        <v>4.37</v>
      </c>
      <c r="N38" s="9">
        <f t="shared" si="0"/>
        <v>19171.388429752064</v>
      </c>
    </row>
    <row r="39" spans="1:14">
      <c r="A39" s="2">
        <v>1990</v>
      </c>
      <c r="B39" s="3">
        <v>6.06</v>
      </c>
      <c r="C39" s="3">
        <v>7.99</v>
      </c>
      <c r="D39" s="3">
        <v>14.6</v>
      </c>
      <c r="E39" s="3">
        <v>11.9</v>
      </c>
      <c r="F39" s="3">
        <v>30</v>
      </c>
      <c r="G39" s="3">
        <v>70.5</v>
      </c>
      <c r="H39" s="3">
        <v>56.2</v>
      </c>
      <c r="I39" s="3">
        <v>18.8</v>
      </c>
      <c r="J39" s="3">
        <v>0.66</v>
      </c>
      <c r="K39" s="3">
        <v>1.8</v>
      </c>
      <c r="L39" s="3">
        <v>3</v>
      </c>
      <c r="M39" s="3">
        <v>2.65</v>
      </c>
      <c r="N39" s="9">
        <f t="shared" si="0"/>
        <v>13568.781818181818</v>
      </c>
    </row>
    <row r="40" spans="1:14">
      <c r="A40" s="2">
        <v>1991</v>
      </c>
      <c r="B40" s="3">
        <v>3.05</v>
      </c>
      <c r="C40" s="3">
        <v>11.3</v>
      </c>
      <c r="D40" s="3">
        <v>8.24</v>
      </c>
      <c r="E40" s="3">
        <v>5.01</v>
      </c>
      <c r="F40" s="3">
        <v>20.6</v>
      </c>
      <c r="G40" s="3">
        <v>3.81</v>
      </c>
      <c r="H40" s="3">
        <v>0.2</v>
      </c>
      <c r="I40" s="3">
        <v>3.2000000000000001E-2</v>
      </c>
      <c r="J40" s="3">
        <v>0</v>
      </c>
      <c r="K40" s="3">
        <v>3.0000000000000001E-3</v>
      </c>
      <c r="L40" s="3">
        <v>0.17</v>
      </c>
      <c r="M40" s="3">
        <v>0.91</v>
      </c>
      <c r="N40" s="9">
        <f t="shared" si="0"/>
        <v>3199.3586776859506</v>
      </c>
    </row>
    <row r="41" spans="1:14">
      <c r="A41" s="2">
        <v>1992</v>
      </c>
      <c r="B41" s="3">
        <v>1.77</v>
      </c>
      <c r="C41" s="3">
        <v>1.75</v>
      </c>
      <c r="D41" s="3">
        <v>4.45</v>
      </c>
      <c r="E41" s="3">
        <v>3.8</v>
      </c>
      <c r="F41" s="3">
        <v>1.67</v>
      </c>
      <c r="G41" s="3">
        <v>9.8699999999999992</v>
      </c>
      <c r="H41" s="3">
        <v>148</v>
      </c>
      <c r="I41" s="3">
        <v>42</v>
      </c>
      <c r="J41" s="3">
        <v>5.0999999999999996</v>
      </c>
      <c r="K41" s="3">
        <v>10.4</v>
      </c>
      <c r="L41" s="3">
        <v>5.31</v>
      </c>
      <c r="M41" s="3">
        <v>14.2</v>
      </c>
      <c r="N41" s="9">
        <f t="shared" si="0"/>
        <v>15211.294214876034</v>
      </c>
    </row>
    <row r="42" spans="1:14">
      <c r="A42" s="2">
        <v>1993</v>
      </c>
      <c r="B42" s="3">
        <v>5.0199999999999996</v>
      </c>
      <c r="C42" s="3">
        <v>143</v>
      </c>
      <c r="D42" s="3">
        <v>318</v>
      </c>
      <c r="E42" s="3">
        <v>49.2</v>
      </c>
      <c r="F42" s="3">
        <v>56.5</v>
      </c>
      <c r="G42" s="3">
        <v>51.1</v>
      </c>
      <c r="H42" s="3">
        <v>658</v>
      </c>
      <c r="I42" s="3">
        <v>166</v>
      </c>
      <c r="J42" s="3">
        <v>144</v>
      </c>
      <c r="K42" s="3">
        <v>54</v>
      </c>
      <c r="L42" s="3">
        <v>46.9</v>
      </c>
      <c r="M42" s="3">
        <v>43.5</v>
      </c>
      <c r="N42" s="9">
        <f t="shared" si="0"/>
        <v>105336.93223140495</v>
      </c>
    </row>
    <row r="43" spans="1:14">
      <c r="A43" s="2">
        <v>1994</v>
      </c>
      <c r="B43" s="3">
        <v>36.700000000000003</v>
      </c>
      <c r="C43" s="3">
        <v>34.9</v>
      </c>
      <c r="D43" s="3">
        <v>72.7</v>
      </c>
      <c r="E43" s="3">
        <v>47.4</v>
      </c>
      <c r="F43" s="3">
        <v>36.700000000000003</v>
      </c>
      <c r="G43" s="3">
        <v>16.899999999999999</v>
      </c>
      <c r="H43" s="3">
        <v>15.5</v>
      </c>
      <c r="I43" s="3">
        <v>7.58</v>
      </c>
      <c r="J43" s="3">
        <v>5.41</v>
      </c>
      <c r="K43" s="3">
        <v>6.95</v>
      </c>
      <c r="L43" s="3">
        <v>10.6</v>
      </c>
      <c r="M43" s="3">
        <v>12.6</v>
      </c>
      <c r="N43" s="9">
        <f t="shared" si="0"/>
        <v>18338.885950413227</v>
      </c>
    </row>
    <row r="44" spans="1:14">
      <c r="A44" s="2">
        <v>1995</v>
      </c>
      <c r="B44" s="3">
        <v>17</v>
      </c>
      <c r="C44" s="3">
        <v>16.600000000000001</v>
      </c>
      <c r="D44" s="3">
        <v>15.6</v>
      </c>
      <c r="E44" s="3">
        <v>16.7</v>
      </c>
      <c r="F44" s="3">
        <v>142</v>
      </c>
      <c r="G44" s="3">
        <v>39.6</v>
      </c>
      <c r="H44" s="3">
        <v>22.1</v>
      </c>
      <c r="I44" s="3">
        <v>27.9</v>
      </c>
      <c r="J44" s="3">
        <v>5.44</v>
      </c>
      <c r="K44" s="3">
        <v>6.79</v>
      </c>
      <c r="L44" s="3">
        <v>7.54</v>
      </c>
      <c r="M44" s="3">
        <v>6.86</v>
      </c>
      <c r="N44" s="9">
        <f t="shared" si="0"/>
        <v>19702.016528925622</v>
      </c>
    </row>
    <row r="45" spans="1:14">
      <c r="A45" s="2">
        <v>1996</v>
      </c>
      <c r="B45" s="3">
        <v>8.7100000000000009</v>
      </c>
      <c r="C45" s="3">
        <v>21.7</v>
      </c>
      <c r="D45" s="3">
        <v>18.100000000000001</v>
      </c>
      <c r="E45" s="3">
        <v>19.399999999999999</v>
      </c>
      <c r="F45" s="3">
        <v>30.5</v>
      </c>
      <c r="G45" s="3">
        <v>10.9</v>
      </c>
      <c r="H45" s="3">
        <v>30.6</v>
      </c>
      <c r="I45" s="3">
        <v>11.6</v>
      </c>
      <c r="J45" s="3">
        <v>5.37</v>
      </c>
      <c r="K45" s="3">
        <v>3.57</v>
      </c>
      <c r="L45" s="3">
        <v>120</v>
      </c>
      <c r="M45" s="3">
        <v>20.399999999999999</v>
      </c>
      <c r="N45" s="9">
        <f t="shared" si="0"/>
        <v>18071.414876033061</v>
      </c>
    </row>
    <row r="46" spans="1:14">
      <c r="A46" s="2">
        <v>1997</v>
      </c>
      <c r="B46" s="3">
        <v>17.5</v>
      </c>
      <c r="C46" s="3">
        <v>20.6</v>
      </c>
      <c r="D46" s="3">
        <v>21.2</v>
      </c>
      <c r="E46" s="3">
        <v>23</v>
      </c>
      <c r="F46" s="3">
        <v>24.5</v>
      </c>
      <c r="G46" s="3">
        <v>180</v>
      </c>
      <c r="H46" s="3">
        <v>17.8</v>
      </c>
      <c r="I46" s="3">
        <v>9.65</v>
      </c>
      <c r="J46" s="3">
        <v>4.13</v>
      </c>
      <c r="K46" s="3">
        <v>7.94</v>
      </c>
      <c r="L46" s="3">
        <v>33</v>
      </c>
      <c r="M46" s="3">
        <v>28.4</v>
      </c>
      <c r="N46" s="9">
        <f t="shared" si="0"/>
        <v>23251.319008264458</v>
      </c>
    </row>
    <row r="47" spans="1:14">
      <c r="A47" s="2">
        <v>1998</v>
      </c>
      <c r="B47" s="3">
        <v>23.1</v>
      </c>
      <c r="C47" s="3">
        <v>27.4</v>
      </c>
      <c r="D47" s="3">
        <v>43.5</v>
      </c>
      <c r="E47" s="3">
        <v>162</v>
      </c>
      <c r="F47" s="3">
        <v>40.5</v>
      </c>
      <c r="G47" s="3">
        <v>19.899999999999999</v>
      </c>
      <c r="H47" s="3">
        <v>136</v>
      </c>
      <c r="I47" s="3">
        <v>40.9</v>
      </c>
      <c r="J47" s="3">
        <v>9.64</v>
      </c>
      <c r="K47" s="3">
        <v>10</v>
      </c>
      <c r="L47" s="3">
        <v>25.3</v>
      </c>
      <c r="M47" s="3">
        <v>20.2</v>
      </c>
      <c r="N47" s="9">
        <f t="shared" si="0"/>
        <v>33757.586776859505</v>
      </c>
    </row>
    <row r="48" spans="1:14">
      <c r="A48" s="2">
        <v>1999</v>
      </c>
      <c r="B48" s="3">
        <v>22</v>
      </c>
      <c r="C48" s="3">
        <v>22.7</v>
      </c>
      <c r="D48" s="3">
        <v>20.5</v>
      </c>
      <c r="E48" s="3">
        <v>39.9</v>
      </c>
      <c r="F48" s="3">
        <v>86.8</v>
      </c>
      <c r="G48" s="3">
        <v>25.1</v>
      </c>
      <c r="H48" s="3">
        <v>9.6300000000000008</v>
      </c>
      <c r="I48" s="3">
        <v>7.25</v>
      </c>
      <c r="J48" s="3">
        <v>3.46</v>
      </c>
      <c r="K48" s="3">
        <v>4.49</v>
      </c>
      <c r="L48" s="3">
        <v>5.95</v>
      </c>
      <c r="M48" s="3">
        <v>8.4600000000000009</v>
      </c>
      <c r="N48" s="9">
        <f t="shared" si="0"/>
        <v>15484.17520661157</v>
      </c>
    </row>
    <row r="49" spans="1:14">
      <c r="A49" s="2">
        <v>2000</v>
      </c>
      <c r="B49" s="3">
        <v>10.7</v>
      </c>
      <c r="C49" s="3">
        <v>15</v>
      </c>
      <c r="D49" s="3">
        <v>17.100000000000001</v>
      </c>
      <c r="E49" s="3">
        <v>13.6</v>
      </c>
      <c r="F49" s="3">
        <v>10.1</v>
      </c>
      <c r="G49" s="3">
        <v>2.11</v>
      </c>
      <c r="H49" s="3">
        <v>0.78</v>
      </c>
      <c r="I49" s="3">
        <v>4.5999999999999999E-2</v>
      </c>
      <c r="J49" s="3">
        <v>0</v>
      </c>
      <c r="K49" s="3">
        <v>1E-3</v>
      </c>
      <c r="L49" s="3">
        <v>5.19</v>
      </c>
      <c r="M49" s="3">
        <v>1.88</v>
      </c>
      <c r="N49" s="9">
        <f t="shared" si="0"/>
        <v>4580.9593388429757</v>
      </c>
    </row>
    <row r="50" spans="1:14">
      <c r="A50" s="2">
        <v>2001</v>
      </c>
      <c r="B50" s="3">
        <v>2.76</v>
      </c>
      <c r="C50" s="3">
        <v>7.09</v>
      </c>
      <c r="D50" s="3">
        <v>76.900000000000006</v>
      </c>
      <c r="E50" s="3">
        <v>13.7</v>
      </c>
      <c r="F50" s="3">
        <v>149</v>
      </c>
      <c r="G50" s="3">
        <v>41.3</v>
      </c>
      <c r="H50" s="3">
        <v>58.7</v>
      </c>
      <c r="I50" s="3">
        <v>6.02</v>
      </c>
      <c r="J50" s="3">
        <v>3.29</v>
      </c>
      <c r="K50" s="3">
        <v>3.15</v>
      </c>
      <c r="L50" s="3">
        <v>6.7</v>
      </c>
      <c r="M50" s="3">
        <v>9.1</v>
      </c>
      <c r="N50" s="9">
        <f t="shared" si="0"/>
        <v>23056.904132231411</v>
      </c>
    </row>
    <row r="51" spans="1:14">
      <c r="A51" s="2">
        <v>2002</v>
      </c>
      <c r="B51" s="3">
        <v>9.33</v>
      </c>
      <c r="C51" s="3">
        <v>13.4</v>
      </c>
      <c r="D51" s="3">
        <v>13.4</v>
      </c>
      <c r="E51" s="3">
        <v>13.5</v>
      </c>
      <c r="F51" s="3">
        <v>21.1</v>
      </c>
      <c r="G51" s="3">
        <v>3.93</v>
      </c>
      <c r="H51" s="3">
        <v>0.72</v>
      </c>
      <c r="I51" s="3">
        <v>0.11</v>
      </c>
      <c r="J51" s="3">
        <v>2.9000000000000001E-2</v>
      </c>
      <c r="K51" s="3">
        <v>3.17</v>
      </c>
      <c r="L51" s="3">
        <v>0.4</v>
      </c>
      <c r="M51" s="3">
        <v>0.56999999999999995</v>
      </c>
      <c r="N51" s="9">
        <f t="shared" si="0"/>
        <v>4789.5272727272732</v>
      </c>
    </row>
    <row r="52" spans="1:14">
      <c r="A52" s="2">
        <v>2003</v>
      </c>
      <c r="B52" s="3">
        <v>0.89</v>
      </c>
      <c r="C52" s="3">
        <v>1.84</v>
      </c>
      <c r="D52" s="3">
        <v>3.32</v>
      </c>
      <c r="E52" s="3">
        <v>4.6900000000000004</v>
      </c>
      <c r="F52" s="3">
        <v>11</v>
      </c>
      <c r="G52" s="3">
        <v>4.07</v>
      </c>
      <c r="H52" s="3">
        <v>2.8000000000000001E-2</v>
      </c>
      <c r="I52" s="3">
        <v>0.36</v>
      </c>
      <c r="J52" s="3">
        <v>2.19</v>
      </c>
      <c r="K52" s="3">
        <v>3.7999999999999999E-2</v>
      </c>
      <c r="L52" s="3">
        <v>0.03</v>
      </c>
      <c r="M52" s="3">
        <v>8.3000000000000004E-2</v>
      </c>
      <c r="N52" s="9">
        <f t="shared" si="0"/>
        <v>1722.9798347107439</v>
      </c>
    </row>
    <row r="53" spans="1:14">
      <c r="A53" s="2">
        <f>A52+1</f>
        <v>2004</v>
      </c>
      <c r="B53" s="88">
        <v>0.114</v>
      </c>
      <c r="C53" s="88">
        <v>0.51300000000000001</v>
      </c>
      <c r="D53" s="88">
        <v>3.49</v>
      </c>
      <c r="E53" s="88">
        <v>1.37</v>
      </c>
      <c r="F53" s="88">
        <v>0.92</v>
      </c>
      <c r="G53" s="88">
        <v>0.97399999999999998</v>
      </c>
      <c r="H53" s="88">
        <v>24</v>
      </c>
      <c r="I53" s="88">
        <v>0.84099999999999997</v>
      </c>
      <c r="J53" s="88">
        <v>8.6999999999999994E-2</v>
      </c>
      <c r="K53" s="88">
        <v>0.158</v>
      </c>
      <c r="L53" s="88">
        <v>0.39</v>
      </c>
      <c r="M53" s="88">
        <v>0.48399999999999999</v>
      </c>
      <c r="N53" s="9">
        <f t="shared" si="0"/>
        <v>2041.664628099174</v>
      </c>
    </row>
    <row r="54" spans="1:14">
      <c r="A54" s="2">
        <f t="shared" ref="A54:A69" si="1">A53+1</f>
        <v>2005</v>
      </c>
      <c r="B54" s="88">
        <v>0.67800000000000005</v>
      </c>
      <c r="C54" s="88">
        <v>1.71</v>
      </c>
      <c r="D54" s="88">
        <v>2.82</v>
      </c>
      <c r="E54" s="88">
        <v>2.2000000000000002</v>
      </c>
      <c r="F54" s="88">
        <v>1.23</v>
      </c>
      <c r="G54" s="88">
        <v>1.23</v>
      </c>
      <c r="H54" s="88">
        <v>37.5</v>
      </c>
      <c r="I54" s="88">
        <v>11.1</v>
      </c>
      <c r="J54" s="88">
        <v>0.43099999999999999</v>
      </c>
      <c r="K54" s="88">
        <v>7.0999999999999994E-2</v>
      </c>
      <c r="L54" s="88">
        <v>0.372</v>
      </c>
      <c r="M54" s="88">
        <v>0.51800000000000002</v>
      </c>
      <c r="N54" s="9">
        <f t="shared" si="0"/>
        <v>3662.9246280991738</v>
      </c>
    </row>
    <row r="55" spans="1:14">
      <c r="A55" s="2">
        <f t="shared" si="1"/>
        <v>2006</v>
      </c>
      <c r="B55" s="88">
        <v>0.57299999999999995</v>
      </c>
      <c r="C55" s="88">
        <v>0.68500000000000005</v>
      </c>
      <c r="D55" s="88">
        <v>1.96</v>
      </c>
      <c r="E55" s="88">
        <v>2.78</v>
      </c>
      <c r="F55" s="88">
        <v>19.7</v>
      </c>
      <c r="G55" s="88">
        <v>0.23699999999999999</v>
      </c>
      <c r="H55" s="88">
        <v>0.92900000000000005</v>
      </c>
      <c r="I55" s="88">
        <v>0.27700000000000002</v>
      </c>
      <c r="J55" s="88">
        <v>1.73</v>
      </c>
      <c r="K55" s="88">
        <v>0.122</v>
      </c>
      <c r="L55" s="88">
        <v>0.24</v>
      </c>
      <c r="M55" s="88">
        <v>0.52500000000000002</v>
      </c>
      <c r="N55" s="9">
        <f t="shared" si="0"/>
        <v>1816.1201652892562</v>
      </c>
    </row>
    <row r="56" spans="1:14">
      <c r="A56" s="2">
        <f t="shared" si="1"/>
        <v>2007</v>
      </c>
      <c r="B56" s="88">
        <v>0.51200000000000001</v>
      </c>
      <c r="C56" s="88">
        <v>9.41</v>
      </c>
      <c r="D56" s="88">
        <v>1.78</v>
      </c>
      <c r="E56" s="88">
        <v>2.0099999999999998</v>
      </c>
      <c r="F56" s="88">
        <v>7.98</v>
      </c>
      <c r="G56" s="88">
        <v>63.5</v>
      </c>
      <c r="H56" s="88">
        <v>5.1100000000000003</v>
      </c>
      <c r="I56" s="88">
        <v>8.2100000000000009</v>
      </c>
      <c r="J56" s="88">
        <v>1.27</v>
      </c>
      <c r="K56" s="88">
        <v>18.3</v>
      </c>
      <c r="L56" s="88">
        <v>3.19</v>
      </c>
      <c r="M56" s="88">
        <v>4.4800000000000004</v>
      </c>
      <c r="N56" s="9">
        <f t="shared" si="0"/>
        <v>7542.0783471074383</v>
      </c>
    </row>
    <row r="57" spans="1:14">
      <c r="A57" s="2">
        <f t="shared" si="1"/>
        <v>2008</v>
      </c>
      <c r="B57" s="88">
        <v>7.87</v>
      </c>
      <c r="C57" s="88">
        <v>14.2</v>
      </c>
      <c r="D57" s="88">
        <v>9.0299999999999994</v>
      </c>
      <c r="E57" s="88">
        <v>21.8</v>
      </c>
      <c r="F57" s="88">
        <v>225.3</v>
      </c>
      <c r="G57" s="88">
        <v>96.9</v>
      </c>
      <c r="H57" s="88">
        <v>46.9</v>
      </c>
      <c r="I57" s="88">
        <v>12.2</v>
      </c>
      <c r="J57" s="88">
        <v>7.16</v>
      </c>
      <c r="K57" s="88">
        <v>168.8</v>
      </c>
      <c r="L57" s="88">
        <v>39.799999999999997</v>
      </c>
      <c r="M57" s="88">
        <v>27.1</v>
      </c>
      <c r="N57" s="9">
        <f t="shared" si="0"/>
        <v>41224.760330578509</v>
      </c>
    </row>
    <row r="58" spans="1:14">
      <c r="A58" s="2">
        <f t="shared" si="1"/>
        <v>2009</v>
      </c>
      <c r="B58" s="88">
        <v>23.9</v>
      </c>
      <c r="C58" s="88">
        <v>25</v>
      </c>
      <c r="D58" s="88">
        <v>21.2</v>
      </c>
      <c r="E58" s="88">
        <v>28.1</v>
      </c>
      <c r="F58" s="88">
        <v>38.799999999999997</v>
      </c>
      <c r="G58" s="88">
        <v>13.5</v>
      </c>
      <c r="H58" s="88">
        <v>8.4</v>
      </c>
      <c r="I58" s="88">
        <v>3.21</v>
      </c>
      <c r="J58" s="88">
        <v>2.52</v>
      </c>
      <c r="K58" s="88">
        <v>3.76</v>
      </c>
      <c r="L58" s="88">
        <v>6.45</v>
      </c>
      <c r="M58" s="88">
        <v>6.23</v>
      </c>
      <c r="N58" s="9">
        <f t="shared" si="0"/>
        <v>10896.892561983472</v>
      </c>
    </row>
    <row r="59" spans="1:14">
      <c r="A59" s="2">
        <f t="shared" si="1"/>
        <v>2010</v>
      </c>
      <c r="B59" s="88">
        <v>12.5</v>
      </c>
      <c r="C59" s="88">
        <v>11.2</v>
      </c>
      <c r="D59" s="88">
        <v>36.9</v>
      </c>
      <c r="E59" s="88">
        <v>33.299999999999997</v>
      </c>
      <c r="F59" s="88">
        <v>38.1</v>
      </c>
      <c r="G59" s="88">
        <v>231.6</v>
      </c>
      <c r="H59" s="88">
        <v>59.8</v>
      </c>
      <c r="I59" s="88">
        <v>16.2</v>
      </c>
      <c r="J59" s="88">
        <v>7.67</v>
      </c>
      <c r="K59" s="88">
        <v>7.76</v>
      </c>
      <c r="L59" s="88">
        <v>12.9</v>
      </c>
      <c r="M59" s="88">
        <v>13.5</v>
      </c>
      <c r="N59" s="9">
        <f t="shared" si="0"/>
        <v>28974.664462809917</v>
      </c>
    </row>
    <row r="60" spans="1:14">
      <c r="A60" s="2">
        <f t="shared" si="1"/>
        <v>2011</v>
      </c>
      <c r="B60" s="88">
        <v>15.8</v>
      </c>
      <c r="C60" s="88">
        <v>30.2</v>
      </c>
      <c r="D60" s="88">
        <v>20.9</v>
      </c>
      <c r="E60" s="88">
        <v>29.7</v>
      </c>
      <c r="F60" s="88">
        <v>469.9</v>
      </c>
      <c r="G60" s="88">
        <v>253</v>
      </c>
      <c r="H60" s="88">
        <v>35.9</v>
      </c>
      <c r="I60" s="88">
        <v>20.2</v>
      </c>
      <c r="J60" s="88">
        <v>8.19</v>
      </c>
      <c r="K60" s="88">
        <v>8.44</v>
      </c>
      <c r="L60" s="88">
        <v>14.3</v>
      </c>
      <c r="M60" s="88">
        <v>15.6</v>
      </c>
      <c r="N60" s="9">
        <f t="shared" si="0"/>
        <v>55929.500826446281</v>
      </c>
    </row>
    <row r="61" spans="1:14">
      <c r="A61" s="2">
        <f t="shared" si="1"/>
        <v>2012</v>
      </c>
      <c r="B61" s="88">
        <v>16.7</v>
      </c>
      <c r="C61" s="88">
        <v>19.899999999999999</v>
      </c>
      <c r="D61" s="88">
        <v>19.399999999999999</v>
      </c>
      <c r="E61" s="88">
        <v>26.6</v>
      </c>
      <c r="F61" s="88">
        <v>10.8</v>
      </c>
      <c r="G61" s="88">
        <v>7.39</v>
      </c>
      <c r="H61" s="88">
        <v>2.08</v>
      </c>
      <c r="I61" s="88">
        <v>1.36</v>
      </c>
      <c r="J61" s="88">
        <v>0.76400000000000001</v>
      </c>
      <c r="K61" s="88">
        <v>1.65</v>
      </c>
      <c r="L61" s="88">
        <v>2.37</v>
      </c>
      <c r="M61" s="88">
        <v>2.57</v>
      </c>
      <c r="N61" s="9">
        <f t="shared" si="0"/>
        <v>6678.8528925619839</v>
      </c>
    </row>
    <row r="62" spans="1:14">
      <c r="A62" s="2">
        <f t="shared" si="1"/>
        <v>2013</v>
      </c>
      <c r="B62" s="88">
        <v>3.02</v>
      </c>
      <c r="C62" s="88">
        <v>3.9</v>
      </c>
      <c r="D62" s="88">
        <v>5.03</v>
      </c>
      <c r="E62" s="88">
        <v>5.24</v>
      </c>
      <c r="F62" s="88">
        <v>7.02</v>
      </c>
      <c r="G62" s="88">
        <v>6.78</v>
      </c>
      <c r="H62" s="88">
        <v>0.60699999999999998</v>
      </c>
      <c r="I62" s="88">
        <v>3.64</v>
      </c>
      <c r="J62" s="88">
        <v>1.01</v>
      </c>
      <c r="K62" s="88">
        <v>0.121</v>
      </c>
      <c r="L62" s="88">
        <v>0.38400000000000001</v>
      </c>
      <c r="M62" s="88">
        <v>0.19800000000000001</v>
      </c>
      <c r="N62" s="9">
        <f t="shared" si="0"/>
        <v>2224.0879338842974</v>
      </c>
    </row>
    <row r="63" spans="1:14">
      <c r="A63" s="2">
        <f t="shared" si="1"/>
        <v>2014</v>
      </c>
      <c r="B63" s="88">
        <v>0.42599999999999999</v>
      </c>
      <c r="C63" s="88">
        <v>1.1399999999999999</v>
      </c>
      <c r="D63" s="88">
        <v>1.75</v>
      </c>
      <c r="E63" s="88">
        <v>1.75</v>
      </c>
      <c r="F63" s="88">
        <v>3.24</v>
      </c>
      <c r="G63" s="88">
        <v>38.700000000000003</v>
      </c>
      <c r="H63" s="88">
        <v>1.38</v>
      </c>
      <c r="I63" s="88">
        <v>41.1</v>
      </c>
      <c r="J63" s="88">
        <v>4.0999999999999996</v>
      </c>
      <c r="K63" s="88">
        <v>1.06</v>
      </c>
      <c r="L63" s="88">
        <v>0.47399999999999998</v>
      </c>
      <c r="M63" s="88">
        <v>0.97499999999999998</v>
      </c>
      <c r="N63" s="9">
        <f t="shared" si="0"/>
        <v>5813.1292561983473</v>
      </c>
    </row>
    <row r="64" spans="1:14">
      <c r="A64" s="2">
        <f t="shared" si="1"/>
        <v>2015</v>
      </c>
      <c r="B64" s="88">
        <v>0.67500000000000004</v>
      </c>
      <c r="C64" s="88">
        <v>1.75</v>
      </c>
      <c r="D64" s="88">
        <v>3.59</v>
      </c>
      <c r="E64" s="88">
        <v>4.3600000000000003</v>
      </c>
      <c r="F64" s="88">
        <v>137.80000000000001</v>
      </c>
      <c r="G64" s="88">
        <v>42.5</v>
      </c>
      <c r="H64" s="88">
        <v>10.8</v>
      </c>
      <c r="I64" s="88">
        <v>20.100000000000001</v>
      </c>
      <c r="J64" s="88">
        <v>9.48</v>
      </c>
      <c r="K64" s="88">
        <v>1.97</v>
      </c>
      <c r="L64" s="88">
        <v>3.54</v>
      </c>
      <c r="M64" s="88">
        <v>11</v>
      </c>
      <c r="N64" s="9">
        <f t="shared" si="0"/>
        <v>15093.862809917357</v>
      </c>
    </row>
    <row r="65" spans="1:15">
      <c r="A65" s="2">
        <f t="shared" si="1"/>
        <v>2016</v>
      </c>
      <c r="B65" s="88">
        <v>6.36</v>
      </c>
      <c r="C65" s="88">
        <v>9.16</v>
      </c>
      <c r="D65" s="88">
        <v>7.85</v>
      </c>
      <c r="E65" s="88">
        <v>26.3</v>
      </c>
      <c r="F65" s="88">
        <v>26</v>
      </c>
      <c r="G65" s="88">
        <v>12</v>
      </c>
      <c r="H65" s="88">
        <v>10.6</v>
      </c>
      <c r="I65" s="88">
        <v>18.2</v>
      </c>
      <c r="J65" s="88">
        <v>27</v>
      </c>
      <c r="K65" s="88">
        <v>7.56</v>
      </c>
      <c r="L65" s="88">
        <v>9.36</v>
      </c>
      <c r="M65" s="88">
        <v>10.199999999999999</v>
      </c>
      <c r="N65" s="9">
        <f t="shared" si="0"/>
        <v>10291.120661157025</v>
      </c>
    </row>
    <row r="66" spans="1:15">
      <c r="A66" s="2">
        <f t="shared" si="1"/>
        <v>2017</v>
      </c>
      <c r="B66" s="88">
        <v>43.1</v>
      </c>
      <c r="C66" s="88">
        <v>15.9</v>
      </c>
      <c r="D66" s="88">
        <v>14.8</v>
      </c>
      <c r="E66" s="88">
        <v>21.5</v>
      </c>
      <c r="F66" s="88">
        <v>146</v>
      </c>
      <c r="G66" s="88">
        <v>21.1</v>
      </c>
      <c r="H66" s="88">
        <v>12.5</v>
      </c>
      <c r="I66" s="88">
        <v>5.57</v>
      </c>
      <c r="J66" s="88">
        <v>4.79</v>
      </c>
      <c r="K66" s="88">
        <v>7.02</v>
      </c>
      <c r="L66" s="88">
        <v>5.45</v>
      </c>
      <c r="M66" s="88">
        <v>5.94</v>
      </c>
      <c r="N66" s="73">
        <f>$O$3*SUMPRODUCT($B$2:$M$2,$B66:$M66)</f>
        <v>18480.406611570252</v>
      </c>
    </row>
    <row r="67" spans="1:15" s="69" customFormat="1">
      <c r="A67" s="2">
        <f t="shared" si="1"/>
        <v>2018</v>
      </c>
      <c r="B67" s="89">
        <v>6.53</v>
      </c>
      <c r="C67" s="89">
        <v>7.8</v>
      </c>
      <c r="D67" s="89">
        <v>8.74</v>
      </c>
      <c r="E67" s="89">
        <v>7.75</v>
      </c>
      <c r="F67" s="89">
        <v>9.34</v>
      </c>
      <c r="G67" s="89">
        <v>107.9</v>
      </c>
      <c r="H67" s="89">
        <v>5.64</v>
      </c>
      <c r="I67" s="89">
        <v>5.58</v>
      </c>
      <c r="J67" s="89">
        <v>38.299999999999997</v>
      </c>
      <c r="K67" s="89">
        <v>58.4</v>
      </c>
      <c r="L67" s="89">
        <v>9.91</v>
      </c>
      <c r="M67" s="89">
        <v>73.5</v>
      </c>
      <c r="N67" s="73">
        <f>$O$3*SUMPRODUCT($B$2:$M$2,$B67:$M67)</f>
        <v>20500.720661157022</v>
      </c>
    </row>
    <row r="68" spans="1:15" s="69" customFormat="1">
      <c r="A68" s="2">
        <f t="shared" si="1"/>
        <v>2019</v>
      </c>
      <c r="B68" s="89">
        <v>34.9</v>
      </c>
      <c r="C68" s="89">
        <v>24.1</v>
      </c>
      <c r="D68" s="89">
        <v>165.6</v>
      </c>
      <c r="E68" s="89">
        <v>31.7</v>
      </c>
      <c r="F68" s="89">
        <v>134.19999999999999</v>
      </c>
      <c r="G68" s="89">
        <v>88.6</v>
      </c>
      <c r="H68" s="89">
        <v>156.80000000000001</v>
      </c>
      <c r="I68" s="89">
        <v>125.5</v>
      </c>
      <c r="J68" s="89">
        <v>26.6</v>
      </c>
      <c r="K68" s="89">
        <v>34.299999999999997</v>
      </c>
      <c r="L68" s="89">
        <v>24.4</v>
      </c>
      <c r="M68" s="89">
        <v>39.6</v>
      </c>
      <c r="N68" s="73">
        <f>$O$3*SUMPRODUCT($B$2:$M$2,$B68:$M68)</f>
        <v>54025.239669421477</v>
      </c>
    </row>
    <row r="69" spans="1:15" s="69" customFormat="1">
      <c r="A69" s="99">
        <f t="shared" si="1"/>
        <v>2020</v>
      </c>
      <c r="B69" s="106">
        <v>50</v>
      </c>
      <c r="C69" s="106">
        <v>30.8</v>
      </c>
      <c r="D69" s="106">
        <v>27.1</v>
      </c>
      <c r="E69" s="106">
        <v>22.3</v>
      </c>
      <c r="F69" s="106">
        <v>21.7</v>
      </c>
      <c r="G69" s="106">
        <v>10.4</v>
      </c>
      <c r="H69" s="106">
        <v>189</v>
      </c>
      <c r="I69" s="106">
        <v>20.5</v>
      </c>
      <c r="J69" s="106">
        <v>5.67</v>
      </c>
      <c r="K69" s="106">
        <v>5.15</v>
      </c>
      <c r="L69" s="106">
        <v>10.290666666666668</v>
      </c>
      <c r="M69" s="106">
        <v>11.554838709677417</v>
      </c>
      <c r="N69" s="73">
        <f>$O$3*SUMPRODUCT($B$2:$M$2,$B69:$M69)</f>
        <v>24605.097520661158</v>
      </c>
    </row>
    <row r="70" spans="1:15" s="69" customFormat="1">
      <c r="A70" s="107">
        <v>2021</v>
      </c>
      <c r="B70" s="108">
        <v>11.9</v>
      </c>
      <c r="C70" s="108">
        <v>14</v>
      </c>
      <c r="D70" s="108">
        <v>67.5</v>
      </c>
      <c r="E70" s="108">
        <v>28.5</v>
      </c>
      <c r="F70" s="108">
        <v>76.2</v>
      </c>
      <c r="G70" s="108">
        <v>20.8</v>
      </c>
      <c r="H70" s="108">
        <v>10</v>
      </c>
      <c r="I70" s="108">
        <v>34.299999999999997</v>
      </c>
      <c r="J70" s="108">
        <v>6.4</v>
      </c>
      <c r="K70" s="108">
        <v>4.6900000000000004</v>
      </c>
      <c r="L70" s="108">
        <v>6.59</v>
      </c>
      <c r="M70" s="108">
        <v>7.75</v>
      </c>
      <c r="N70" s="73">
        <f>$O$3*SUMPRODUCT($B$2:$M$2,$B70:$M70)</f>
        <v>17547.252892561988</v>
      </c>
    </row>
    <row r="71" spans="1:15" s="69" customFormat="1">
      <c r="A71" s="107"/>
      <c r="B71" s="109"/>
      <c r="C71" s="109"/>
      <c r="D71" s="109"/>
      <c r="E71" s="109"/>
      <c r="F71" s="109"/>
      <c r="G71" s="109"/>
      <c r="H71" s="109"/>
      <c r="I71" s="109"/>
      <c r="J71" s="109"/>
      <c r="K71" s="109"/>
      <c r="L71" s="109"/>
      <c r="M71" s="109"/>
    </row>
    <row r="72" spans="1:15">
      <c r="A72" s="4" t="s">
        <v>19</v>
      </c>
      <c r="B72" s="117">
        <v>11.9</v>
      </c>
      <c r="C72" s="117">
        <v>21.7</v>
      </c>
      <c r="D72" s="117">
        <v>37</v>
      </c>
      <c r="E72" s="117">
        <v>29.6</v>
      </c>
      <c r="F72" s="117">
        <v>42.5</v>
      </c>
      <c r="G72" s="117">
        <v>47.9</v>
      </c>
      <c r="H72" s="117">
        <v>48.4</v>
      </c>
      <c r="I72" s="117">
        <v>19.8</v>
      </c>
      <c r="J72" s="117">
        <v>30.9</v>
      </c>
      <c r="K72" s="117">
        <v>16.8</v>
      </c>
      <c r="L72" s="117">
        <v>11</v>
      </c>
      <c r="M72" s="117">
        <v>7.92</v>
      </c>
    </row>
    <row r="73" spans="1:15">
      <c r="A73" s="4" t="s">
        <v>20</v>
      </c>
      <c r="B73" s="117"/>
      <c r="C73" s="117"/>
      <c r="D73" s="117"/>
      <c r="E73" s="117"/>
      <c r="F73" s="117"/>
      <c r="G73" s="117"/>
      <c r="H73" s="117"/>
      <c r="I73" s="117"/>
      <c r="J73" s="117"/>
      <c r="K73" s="117"/>
      <c r="L73" s="117"/>
      <c r="M73" s="117"/>
    </row>
    <row r="74" spans="1:15" ht="26.4">
      <c r="A74" s="5" t="s">
        <v>21</v>
      </c>
      <c r="B74" s="118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</row>
    <row r="78" spans="1:15">
      <c r="A78">
        <v>2019</v>
      </c>
      <c r="B78">
        <v>34.9</v>
      </c>
      <c r="C78">
        <v>24.1</v>
      </c>
      <c r="D78">
        <v>165.6</v>
      </c>
      <c r="E78">
        <v>31.7</v>
      </c>
      <c r="F78">
        <v>134.19999999999999</v>
      </c>
      <c r="G78">
        <v>88.6</v>
      </c>
      <c r="H78">
        <v>156.80000000000001</v>
      </c>
      <c r="I78">
        <v>125.5</v>
      </c>
      <c r="J78">
        <v>26.6</v>
      </c>
      <c r="K78">
        <v>34.299999999999997</v>
      </c>
      <c r="L78">
        <v>24.4</v>
      </c>
      <c r="M78">
        <v>39.6</v>
      </c>
    </row>
    <row r="79" spans="1:15">
      <c r="A79">
        <v>2020</v>
      </c>
      <c r="B79">
        <v>50</v>
      </c>
      <c r="C79">
        <v>30.8</v>
      </c>
      <c r="D79">
        <v>27.1</v>
      </c>
      <c r="E79">
        <v>22.3</v>
      </c>
      <c r="F79">
        <v>21.7</v>
      </c>
      <c r="G79">
        <v>10.4</v>
      </c>
      <c r="H79">
        <v>189</v>
      </c>
      <c r="I79">
        <v>20.5</v>
      </c>
      <c r="J79">
        <v>5.67</v>
      </c>
      <c r="K79">
        <v>5.15</v>
      </c>
      <c r="L79">
        <v>10.290666666666668</v>
      </c>
      <c r="M79">
        <v>11.554838709677417</v>
      </c>
      <c r="N79">
        <f>SUM(B79:M79)</f>
        <v>404.46550537634408</v>
      </c>
      <c r="O79">
        <f>N79/12</f>
        <v>33.705458781362005</v>
      </c>
    </row>
    <row r="80" spans="1:15">
      <c r="A80">
        <v>2021</v>
      </c>
    </row>
  </sheetData>
  <mergeCells count="14">
    <mergeCell ref="L72:L74"/>
    <mergeCell ref="M72:M74"/>
    <mergeCell ref="A4:A5"/>
    <mergeCell ref="B4:M4"/>
    <mergeCell ref="B72:B74"/>
    <mergeCell ref="C72:C74"/>
    <mergeCell ref="D72:D74"/>
    <mergeCell ref="E72:E74"/>
    <mergeCell ref="F72:F74"/>
    <mergeCell ref="G72:G74"/>
    <mergeCell ref="H72:H74"/>
    <mergeCell ref="I72:I74"/>
    <mergeCell ref="J72:J74"/>
    <mergeCell ref="K72:K74"/>
  </mergeCells>
  <phoneticPr fontId="1" type="noConversion"/>
  <hyperlinks>
    <hyperlink ref="P4" r:id="rId1" display="https://waterdata.usgs.gov/ks/nwis/monthly?referred_module=sw&amp;amp;site_no=06853800&amp;amp;por_06853800_54716=92218,00060,54716,1957-10,2018-04&amp;amp;start_dt=2000-01&amp;amp;end_dt=2017-12&amp;amp;partial_periods=on&amp;amp;format=html_table&amp;amp;date_format=YYYY-MM-DD&amp;amp;rdb_compression=file&amp;amp;submitted_form=parameter_selection_list" xr:uid="{00000000-0004-0000-0700-000000000000}"/>
  </hyperlink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Doc</vt:lpstr>
      <vt:lpstr>ref</vt:lpstr>
      <vt:lpstr>RR_CBCU</vt:lpstr>
      <vt:lpstr>WRC_BurrOak_annual</vt:lpstr>
      <vt:lpstr>C-LOV</vt:lpstr>
      <vt:lpstr>C-BELOW</vt:lpstr>
      <vt:lpstr>LVKS_Out_AF</vt:lpstr>
      <vt:lpstr>supporting_cal_data</vt:lpstr>
      <vt:lpstr>WRC_BurrOak_monthly</vt:lpstr>
      <vt:lpstr>supporting_data_2020</vt:lpstr>
      <vt:lpstr>supporting data_2021</vt:lpstr>
      <vt:lpstr>WRC_bl_Lovewell_USGS</vt:lpstr>
      <vt:lpstr>RR_CBCU!Print_Area</vt:lpstr>
    </vt:vector>
  </TitlesOfParts>
  <Company>Kansas Dept. Of Agriculture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dbarfield</dc:creator>
  <cp:lastModifiedBy>hc</cp:lastModifiedBy>
  <cp:lastPrinted>2005-07-25T20:04:18Z</cp:lastPrinted>
  <dcterms:created xsi:type="dcterms:W3CDTF">2005-07-23T19:33:28Z</dcterms:created>
  <dcterms:modified xsi:type="dcterms:W3CDTF">2022-04-01T02:16:45Z</dcterms:modified>
</cp:coreProperties>
</file>