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MWD\"/>
    </mc:Choice>
  </mc:AlternateContent>
  <xr:revisionPtr revIDLastSave="0" documentId="13_ncr:1_{13D4DE88-0087-4701-A67B-59908848640E}" xr6:coauthVersionLast="45" xr6:coauthVersionMax="45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irwin" sheetId="17" r:id="rId16"/>
    <sheet name="osb" sheetId="25" r:id="rId17"/>
    <sheet name="ks abov" sheetId="18" r:id="rId18"/>
    <sheet name="ks below" sheetId="19" r:id="rId19"/>
    <sheet name="ks-bost sum" sheetId="20" r:id="rId20"/>
    <sheet name="gln elder" sheetId="16" r:id="rId21"/>
    <sheet name="mirdan" sheetId="23" r:id="rId22"/>
    <sheet name="Fullerton" sheetId="15" r:id="rId23"/>
    <sheet name="twn lps sum" sheetId="30" r:id="rId24"/>
    <sheet name="ainsworth" sheetId="1" r:id="rId25"/>
    <sheet name="mir flts" sheetId="22" r:id="rId26"/>
  </sheets>
  <externalReferences>
    <externalReference r:id="rId27"/>
  </externalReferences>
  <definedNames>
    <definedName name="_xlnm.Print_Area">'culb ext 2'!$A$1:$O$40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6" l="1"/>
  <c r="C17" i="16"/>
  <c r="C18" i="16"/>
  <c r="C19" i="16"/>
  <c r="C20" i="16"/>
  <c r="K25" i="16" l="1"/>
  <c r="L22" i="16"/>
  <c r="C22" i="16" s="1"/>
  <c r="L23" i="16"/>
  <c r="C23" i="16" s="1"/>
  <c r="L24" i="16"/>
  <c r="C24" i="16" s="1"/>
  <c r="L25" i="16"/>
  <c r="C25" i="16" s="1"/>
  <c r="L26" i="16"/>
  <c r="C26" i="16" s="1"/>
  <c r="L27" i="16"/>
  <c r="C27" i="16" s="1"/>
  <c r="L21" i="16"/>
  <c r="C21" i="16" s="1"/>
  <c r="K9" i="20" l="1"/>
  <c r="D24" i="12" l="1"/>
  <c r="D23" i="12"/>
  <c r="D22" i="12"/>
  <c r="D21" i="12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M20" i="4" s="1"/>
  <c r="K21" i="4"/>
  <c r="K22" i="4"/>
  <c r="M22" i="4" s="1"/>
  <c r="K23" i="4"/>
  <c r="K24" i="4"/>
  <c r="K25" i="4"/>
  <c r="M25" i="4" s="1"/>
  <c r="K26" i="4"/>
  <c r="M26" i="4" s="1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I28" i="4"/>
  <c r="M17" i="4" l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E21" i="23"/>
  <c r="D22" i="18" l="1"/>
  <c r="H20" i="5" l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E25" i="2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H27" i="7"/>
  <c r="J27" i="7" s="1"/>
  <c r="E27" i="7"/>
  <c r="M26" i="7"/>
  <c r="N26" i="7" s="1"/>
  <c r="H26" i="7"/>
  <c r="J26" i="7" s="1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 s="1"/>
  <c r="E19" i="7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J16" i="7" s="1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/>
  <c r="M23" i="25"/>
  <c r="N23" i="25" s="1"/>
  <c r="J23" i="25"/>
  <c r="E23" i="25"/>
  <c r="G23" i="25" s="1"/>
  <c r="M22" i="25"/>
  <c r="N22" i="25" s="1"/>
  <c r="J22" i="25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/>
  <c r="E16" i="5"/>
  <c r="G16" i="5" s="1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G16" i="3" s="1"/>
  <c r="L28" i="14"/>
  <c r="L29" i="14" s="1"/>
  <c r="L28" i="29"/>
  <c r="K28" i="14"/>
  <c r="K28" i="13"/>
  <c r="K29" i="13" s="1"/>
  <c r="K28" i="24"/>
  <c r="K29" i="24" s="1"/>
  <c r="K28" i="29"/>
  <c r="K29" i="29" s="1"/>
  <c r="H28" i="14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N19" i="13"/>
  <c r="J19" i="13"/>
  <c r="J18" i="13"/>
  <c r="N17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H29" i="14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L29" i="29"/>
  <c r="D28" i="29"/>
  <c r="C28" i="29"/>
  <c r="J27" i="29"/>
  <c r="J26" i="29"/>
  <c r="N25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0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H27" i="26"/>
  <c r="J27" i="26" s="1"/>
  <c r="I28" i="26"/>
  <c r="I29" i="26" s="1"/>
  <c r="F28" i="26"/>
  <c r="F29" i="26" s="1"/>
  <c r="D28" i="26"/>
  <c r="C28" i="26"/>
  <c r="B28" i="26"/>
  <c r="J26" i="26"/>
  <c r="N21" i="26"/>
  <c r="J19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G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G25" i="2"/>
  <c r="J24" i="2"/>
  <c r="G24" i="2"/>
  <c r="J21" i="2"/>
  <c r="J20" i="2"/>
  <c r="J19" i="2"/>
  <c r="N18" i="2"/>
  <c r="J18" i="2"/>
  <c r="J17" i="2"/>
  <c r="G17" i="2"/>
  <c r="J16" i="2"/>
  <c r="G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G20" i="1" s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J17" i="18"/>
  <c r="M17" i="18"/>
  <c r="N17" i="18" s="1"/>
  <c r="D18" i="18"/>
  <c r="E18" i="18" s="1"/>
  <c r="G18" i="18" s="1"/>
  <c r="J18" i="18"/>
  <c r="M18" i="18"/>
  <c r="N18" i="18" s="1"/>
  <c r="D19" i="18"/>
  <c r="E19" i="18" s="1"/>
  <c r="B19" i="20" s="1"/>
  <c r="J19" i="18"/>
  <c r="M19" i="18"/>
  <c r="N19" i="18" s="1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 s="1"/>
  <c r="G27" i="18"/>
  <c r="J27" i="18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J22" i="22"/>
  <c r="M22" i="22"/>
  <c r="N22" i="22" s="1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E17" i="30" s="1"/>
  <c r="J17" i="23"/>
  <c r="M17" i="23"/>
  <c r="N17" i="23" s="1"/>
  <c r="E18" i="23"/>
  <c r="G18" i="23" s="1"/>
  <c r="J18" i="23"/>
  <c r="J18" i="30" s="1"/>
  <c r="M18" i="23"/>
  <c r="N18" i="23" s="1"/>
  <c r="E19" i="23"/>
  <c r="G19" i="23" s="1"/>
  <c r="J19" i="23"/>
  <c r="J19" i="30" s="1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E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G16" i="25"/>
  <c r="N16" i="5"/>
  <c r="M18" i="30" l="1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8" i="22"/>
  <c r="M29" i="22" s="1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N28" i="2" l="1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J28" i="4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G28" i="20" l="1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4"/>
  <c r="J29" i="4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30" i="18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30" l="1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</calcChain>
</file>

<file path=xl/sharedStrings.xml><?xml version="1.0" encoding="utf-8"?>
<sst xmlns="http://schemas.openxmlformats.org/spreadsheetml/2006/main" count="2607" uniqueCount="193">
  <si>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</si>
  <si>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</si>
  <si>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</si>
  <si>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</si>
  <si>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</si>
  <si>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</si>
  <si>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</si>
  <si>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</si>
  <si>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</si>
  <si>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</si>
  <si>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</si>
  <si>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</si>
  <si>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</si>
  <si>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</si>
  <si>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</si>
  <si>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</si>
  <si>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</si>
  <si>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</si>
  <si>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</si>
  <si>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</si>
  <si>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</si>
  <si>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</si>
  <si>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</si>
  <si>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</si>
  <si>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</si>
  <si>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</si>
  <si>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</si>
  <si>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</si>
  <si>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</si>
  <si>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</si>
  <si>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</si>
  <si>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</si>
  <si>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</si>
  <si>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</si>
  <si>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</si>
  <si>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</si>
  <si>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</si>
  <si>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</si>
  <si>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</si>
  <si>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</si>
  <si>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</si>
  <si>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</si>
  <si>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</si>
  <si>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</si>
  <si>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</si>
  <si>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</si>
  <si>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</si>
  <si>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</si>
  <si>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</si>
  <si>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</si>
  <si>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</si>
  <si>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</si>
  <si>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</si>
  <si>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</si>
  <si>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</si>
  <si>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</si>
  <si>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</si>
  <si>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</si>
  <si>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</si>
  <si>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</si>
  <si>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</si>
  <si>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</si>
  <si>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</si>
  <si>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</si>
  <si>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</si>
  <si>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</si>
  <si>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</si>
  <si>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</si>
  <si>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</si>
  <si>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</si>
  <si>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</si>
  <si>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</si>
  <si>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</si>
  <si>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</si>
  <si>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</si>
  <si>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</si>
  <si>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</si>
  <si>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</si>
  <si>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</si>
  <si>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</si>
  <si>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</si>
  <si>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</si>
  <si>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</si>
  <si>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</si>
  <si>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</si>
  <si>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</si>
  <si>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</si>
  <si>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</si>
  <si>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</si>
  <si>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</si>
  <si>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</si>
  <si>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</si>
  <si>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</si>
  <si>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</si>
  <si>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</si>
  <si>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</si>
  <si>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</si>
  <si>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</si>
  <si>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</si>
  <si>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</si>
  <si>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</si>
  <si>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</si>
  <si>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</si>
  <si>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</si>
  <si>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</si>
  <si>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</si>
  <si>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</si>
  <si>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</si>
  <si>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</si>
  <si>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</si>
  <si>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</si>
  <si>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</si>
  <si>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</si>
  <si>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</si>
  <si>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</si>
  <si>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</si>
  <si>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</si>
  <si>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</si>
  <si>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</si>
  <si>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</si>
  <si>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</si>
  <si>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</si>
  <si>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</si>
  <si>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</si>
  <si>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</si>
  <si>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</si>
  <si>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</si>
  <si>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</si>
  <si>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</si>
  <si>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</si>
  <si>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</si>
  <si>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</si>
  <si>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</si>
  <si>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</si>
  <si>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</si>
  <si>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</si>
  <si>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</si>
  <si>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</si>
  <si>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</si>
  <si>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</si>
  <si>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</si>
  <si>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</si>
  <si>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</si>
  <si>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</si>
  <si>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</si>
  <si>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</si>
  <si>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</si>
  <si>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</si>
  <si>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</si>
  <si>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</si>
  <si>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</si>
  <si>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</si>
  <si>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</si>
  <si>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</si>
  <si>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</si>
  <si>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</si>
  <si>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</si>
  <si>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</si>
  <si>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</si>
  <si>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</si>
  <si>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</si>
  <si>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</si>
  <si>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</si>
  <si>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</si>
  <si>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</si>
  <si>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</si>
  <si>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</si>
  <si>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</si>
  <si>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</si>
  <si>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</si>
  <si>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</si>
  <si>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</si>
  <si>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</si>
  <si>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</si>
  <si>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</si>
  <si>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</si>
  <si>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</si>
  <si>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</si>
  <si>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</si>
  <si>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</si>
  <si>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</si>
  <si>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</si>
  <si>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</si>
  <si>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</si>
  <si>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CULBERTSON EXTENSION 2</t>
  </si>
  <si>
    <t>Culbertson Extension 1</t>
  </si>
  <si>
    <t>non-district</t>
  </si>
  <si>
    <t>Culbertson Extension Canal 1 was not in operation during the 2020 irrigation season.</t>
  </si>
  <si>
    <t>Culbertson Extension Canal 2 was not in operation during the 2020 irrigation season.</t>
  </si>
  <si>
    <t>Conducted</t>
  </si>
  <si>
    <t xml:space="preserve">Bartley </t>
  </si>
  <si>
    <t>Canal*****</t>
  </si>
  <si>
    <t>Bartley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</si>
</sst>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8" fillId="0" borderId="1" xfId="0" applyNumberFormat="1" applyFont="1" applyBorder="1" applyAlignment="1" applyProtection="1">
      <alignment horizontal="left"/>
      <protection locked="0"/>
    </xf>
    <xf numFmtId="3" fontId="18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3" fontId="19" fillId="0" borderId="1" xfId="0" applyNumberFormat="1" applyFont="1" applyBorder="1" applyAlignment="1" applyProtection="1">
      <alignment horizontal="right"/>
      <protection locked="0"/>
    </xf>
    <xf numFmtId="0" fontId="19" fillId="0" borderId="1" xfId="0" applyNumberFormat="1" applyFont="1" applyBorder="1" applyAlignment="1" applyProtection="1">
      <protection locked="0"/>
    </xf>
    <xf numFmtId="3" fontId="19" fillId="0" borderId="5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Border="1" applyAlignment="1">
      <alignment horizontal="left"/>
    </xf>
    <xf numFmtId="3" fontId="19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6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9" fillId="0" borderId="1" xfId="0" applyNumberFormat="1" applyFont="1" applyBorder="1" applyAlignment="1" applyProtection="1">
      <alignment horizontal="left"/>
      <protection locked="0"/>
    </xf>
    <xf numFmtId="0" fontId="19" fillId="0" borderId="1" xfId="0" applyNumberFormat="1" applyFont="1" applyBorder="1" applyAlignment="1" applyProtection="1">
      <alignment horizontal="left"/>
      <protection locked="0"/>
    </xf>
    <xf numFmtId="3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19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9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6" fontId="22" fillId="0" borderId="1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Fill="1" applyBorder="1" applyAlignment="1" applyProtection="1">
      <alignment horizontal="left"/>
      <protection locked="0"/>
    </xf>
    <xf numFmtId="3" fontId="22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22" fillId="0" borderId="1" xfId="0" applyNumberFormat="1" applyFont="1" applyBorder="1" applyAlignment="1">
      <alignment horizontal="right"/>
    </xf>
    <xf numFmtId="0" fontId="23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24" fillId="0" borderId="1" xfId="0" applyFont="1" applyBorder="1" applyAlignment="1">
      <alignment horizontal="left"/>
    </xf>
    <xf numFmtId="3" fontId="25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6" fillId="0" borderId="0" xfId="0" applyFont="1" applyAlignment="1"/>
    <xf numFmtId="0" fontId="13" fillId="0" borderId="0" xfId="0" applyFont="1" applyAlignment="1"/>
    <xf numFmtId="0" fontId="26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7" fillId="0" borderId="0" xfId="0" applyFont="1" applyAlignment="1"/>
    <xf numFmtId="0" fontId="1" fillId="0" borderId="10" xfId="0" applyNumberFormat="1" applyFont="1" applyBorder="1" applyAlignment="1">
      <alignment horizontal="left"/>
    </xf>
    <xf numFmtId="3" fontId="22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3" fontId="22" fillId="0" borderId="11" xfId="0" applyNumberFormat="1" applyFont="1" applyBorder="1" applyAlignment="1">
      <alignment horizontal="left"/>
    </xf>
    <xf numFmtId="3" fontId="29" fillId="0" borderId="11" xfId="0" applyNumberFormat="1" applyFont="1" applyBorder="1" applyAlignment="1">
      <alignment horizontal="left"/>
    </xf>
    <xf numFmtId="3" fontId="22" fillId="0" borderId="5" xfId="0" applyNumberFormat="1" applyFont="1" applyBorder="1" applyAlignment="1">
      <alignment horizontal="left"/>
    </xf>
    <xf numFmtId="0" fontId="31" fillId="0" borderId="0" xfId="0" applyNumberFormat="1" applyFont="1" applyAlignment="1"/>
    <xf numFmtId="0" fontId="30" fillId="0" borderId="0" xfId="0" applyFont="1" applyAlignment="1"/>
    <xf numFmtId="9" fontId="24" fillId="0" borderId="0" xfId="0" applyNumberFormat="1" applyFont="1" applyAlignment="1"/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left"/>
    </xf>
    <xf numFmtId="3" fontId="22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700-00004A08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ad%20MWD%20FC/mwd20FC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 cam sum"/>
      <sheetName val="mk drift"/>
      <sheetName val="bartley"/>
      <sheetName val="red wil"/>
      <sheetName val="camb"/>
    </sheetNames>
    <sheetDataSet>
      <sheetData sheetId="0"/>
      <sheetData sheetId="1">
        <row r="21">
          <cell r="D21">
            <v>106</v>
          </cell>
        </row>
        <row r="22">
          <cell r="D22">
            <v>596</v>
          </cell>
        </row>
        <row r="23">
          <cell r="D23">
            <v>866</v>
          </cell>
        </row>
        <row r="24">
          <cell r="D24">
            <v>249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OutlineSymbols="0" zoomScale="87" zoomScaleNormal="87" workbookViewId="0">
      <selection activeCell="P40" sqref="P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5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435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 s="78" customFormat="1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 s="78" customFormat="1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 s="78" customFormat="1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s="78" customFormat="1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 s="78" customFormat="1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 s="78" customFormat="1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 s="78" customFormat="1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 s="78" customFormat="1">
      <c r="A19" s="140" t="s">
        <v>12</v>
      </c>
      <c r="B19" s="110">
        <v>925</v>
      </c>
      <c r="C19" s="141">
        <v>0</v>
      </c>
      <c r="D19" s="141">
        <v>0</v>
      </c>
      <c r="E19" s="142">
        <f t="shared" si="0"/>
        <v>925</v>
      </c>
      <c r="F19" s="110">
        <v>0</v>
      </c>
      <c r="G19" s="142">
        <f t="shared" si="1"/>
        <v>925</v>
      </c>
      <c r="H19" s="204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 s="78" customFormat="1">
      <c r="A20" s="140" t="s">
        <v>13</v>
      </c>
      <c r="B20" s="110">
        <v>1862</v>
      </c>
      <c r="C20" s="141">
        <v>0</v>
      </c>
      <c r="D20" s="141">
        <v>0</v>
      </c>
      <c r="E20" s="142">
        <f t="shared" si="0"/>
        <v>1862</v>
      </c>
      <c r="F20" s="110">
        <v>0</v>
      </c>
      <c r="G20" s="142">
        <f t="shared" si="1"/>
        <v>1862</v>
      </c>
      <c r="H20" s="204"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 s="78" customFormat="1">
      <c r="A21" s="140" t="s">
        <v>14</v>
      </c>
      <c r="B21" s="110">
        <v>1266</v>
      </c>
      <c r="C21" s="141">
        <v>0</v>
      </c>
      <c r="D21" s="141">
        <v>0</v>
      </c>
      <c r="E21" s="142">
        <f t="shared" si="0"/>
        <v>1266</v>
      </c>
      <c r="F21" s="110">
        <v>0</v>
      </c>
      <c r="G21" s="142">
        <f t="shared" si="1"/>
        <v>1079</v>
      </c>
      <c r="H21" s="204">
        <v>187</v>
      </c>
      <c r="I21" s="110">
        <v>9</v>
      </c>
      <c r="J21" s="142">
        <f t="shared" si="3"/>
        <v>134</v>
      </c>
      <c r="K21" s="110">
        <v>0</v>
      </c>
      <c r="L21" s="180">
        <v>44</v>
      </c>
      <c r="M21" s="156">
        <f t="shared" si="4"/>
        <v>44</v>
      </c>
      <c r="N21" s="157">
        <f t="shared" si="5"/>
        <v>0.10100000000000001</v>
      </c>
      <c r="O21" s="17"/>
    </row>
    <row r="22" spans="1:15" s="78" customFormat="1">
      <c r="A22" s="140" t="s">
        <v>15</v>
      </c>
      <c r="B22" s="110">
        <v>891</v>
      </c>
      <c r="C22" s="141">
        <v>0</v>
      </c>
      <c r="D22" s="141">
        <v>0</v>
      </c>
      <c r="E22" s="142">
        <f t="shared" si="0"/>
        <v>891</v>
      </c>
      <c r="F22" s="180">
        <v>0</v>
      </c>
      <c r="G22" s="220">
        <f t="shared" si="1"/>
        <v>697</v>
      </c>
      <c r="H22" s="219">
        <v>194</v>
      </c>
      <c r="I22" s="180">
        <v>41</v>
      </c>
      <c r="J22" s="220">
        <f t="shared" si="3"/>
        <v>50</v>
      </c>
      <c r="K22" s="180">
        <v>0</v>
      </c>
      <c r="L22" s="180">
        <v>103</v>
      </c>
      <c r="M22" s="156">
        <f t="shared" si="4"/>
        <v>103</v>
      </c>
      <c r="N22" s="157">
        <f t="shared" si="5"/>
        <v>0.23699999999999999</v>
      </c>
      <c r="O22" s="17"/>
    </row>
    <row r="23" spans="1:15" s="78" customFormat="1">
      <c r="A23" s="140" t="s">
        <v>16</v>
      </c>
      <c r="B23" s="110">
        <v>710</v>
      </c>
      <c r="C23" s="141">
        <v>0</v>
      </c>
      <c r="D23" s="141">
        <v>0</v>
      </c>
      <c r="E23" s="142">
        <f t="shared" si="0"/>
        <v>710</v>
      </c>
      <c r="F23" s="180">
        <v>0</v>
      </c>
      <c r="G23" s="220">
        <f t="shared" si="1"/>
        <v>505</v>
      </c>
      <c r="H23" s="219">
        <v>205</v>
      </c>
      <c r="I23" s="180">
        <v>39</v>
      </c>
      <c r="J23" s="220">
        <f t="shared" si="3"/>
        <v>56</v>
      </c>
      <c r="K23" s="180">
        <v>0</v>
      </c>
      <c r="L23" s="180">
        <v>110</v>
      </c>
      <c r="M23" s="156">
        <f t="shared" si="4"/>
        <v>110</v>
      </c>
      <c r="N23" s="157">
        <f t="shared" si="5"/>
        <v>0.253</v>
      </c>
      <c r="O23" s="17"/>
    </row>
    <row r="24" spans="1:15" s="78" customFormat="1">
      <c r="A24" s="140" t="s">
        <v>17</v>
      </c>
      <c r="B24" s="110">
        <v>651</v>
      </c>
      <c r="C24" s="141">
        <v>0</v>
      </c>
      <c r="D24" s="141">
        <v>0</v>
      </c>
      <c r="E24" s="142">
        <f t="shared" si="0"/>
        <v>651</v>
      </c>
      <c r="F24" s="180">
        <v>0</v>
      </c>
      <c r="G24" s="220">
        <f t="shared" si="1"/>
        <v>615</v>
      </c>
      <c r="H24" s="219">
        <v>36</v>
      </c>
      <c r="I24" s="180">
        <v>0</v>
      </c>
      <c r="J24" s="220">
        <f t="shared" si="3"/>
        <v>36</v>
      </c>
      <c r="K24" s="180">
        <v>0</v>
      </c>
      <c r="L24" s="180">
        <v>0</v>
      </c>
      <c r="M24" s="156">
        <f t="shared" si="4"/>
        <v>0</v>
      </c>
      <c r="N24" s="157">
        <f t="shared" si="5"/>
        <v>0</v>
      </c>
      <c r="O24" s="17"/>
    </row>
    <row r="25" spans="1:15" s="78" customFormat="1">
      <c r="A25" s="140" t="s">
        <v>18</v>
      </c>
      <c r="B25" s="110">
        <v>417</v>
      </c>
      <c r="C25" s="141">
        <v>0</v>
      </c>
      <c r="D25" s="141">
        <v>0</v>
      </c>
      <c r="E25" s="142">
        <f t="shared" si="0"/>
        <v>417</v>
      </c>
      <c r="F25" s="180">
        <v>0</v>
      </c>
      <c r="G25" s="220">
        <f t="shared" si="1"/>
        <v>417</v>
      </c>
      <c r="H25" s="219">
        <v>0</v>
      </c>
      <c r="I25" s="180">
        <v>0</v>
      </c>
      <c r="J25" s="220">
        <f t="shared" si="3"/>
        <v>0</v>
      </c>
      <c r="K25" s="180">
        <v>0</v>
      </c>
      <c r="L25" s="180">
        <v>0</v>
      </c>
      <c r="M25" s="156">
        <f t="shared" si="4"/>
        <v>0</v>
      </c>
      <c r="N25" s="157">
        <f t="shared" si="5"/>
        <v>0</v>
      </c>
      <c r="O25" s="17"/>
    </row>
    <row r="26" spans="1:15" s="78" customFormat="1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80">
        <v>0</v>
      </c>
      <c r="G26" s="220">
        <f t="shared" si="1"/>
        <v>0</v>
      </c>
      <c r="H26" s="219">
        <f t="shared" si="2"/>
        <v>0</v>
      </c>
      <c r="I26" s="180">
        <v>0</v>
      </c>
      <c r="J26" s="220">
        <f t="shared" si="3"/>
        <v>0</v>
      </c>
      <c r="K26" s="180">
        <v>0</v>
      </c>
      <c r="L26" s="180">
        <v>0</v>
      </c>
      <c r="M26" s="156">
        <f t="shared" si="4"/>
        <v>0</v>
      </c>
      <c r="N26" s="157">
        <f t="shared" si="5"/>
        <v>0</v>
      </c>
      <c r="O26" s="17"/>
    </row>
    <row r="27" spans="1:15" s="78" customFormat="1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80">
        <v>0</v>
      </c>
      <c r="G27" s="220">
        <f t="shared" si="1"/>
        <v>0</v>
      </c>
      <c r="H27" s="219">
        <f t="shared" si="2"/>
        <v>0</v>
      </c>
      <c r="I27" s="180">
        <v>0</v>
      </c>
      <c r="J27" s="220">
        <f t="shared" si="3"/>
        <v>0</v>
      </c>
      <c r="K27" s="180">
        <v>0</v>
      </c>
      <c r="L27" s="180">
        <v>0</v>
      </c>
      <c r="M27" s="156">
        <f t="shared" si="4"/>
        <v>0</v>
      </c>
      <c r="N27" s="157">
        <f t="shared" si="5"/>
        <v>0</v>
      </c>
      <c r="O27" s="17"/>
    </row>
    <row r="28" spans="1:15" s="78" customFormat="1" ht="15.75" thickBot="1">
      <c r="A28" s="140" t="s">
        <v>21</v>
      </c>
      <c r="B28" s="158">
        <f>SUM(B16:B27)</f>
        <v>6722</v>
      </c>
      <c r="C28" s="158">
        <f>SUM(C16:C27)</f>
        <v>0</v>
      </c>
      <c r="D28" s="158">
        <f>SUM(D16:D27)</f>
        <v>0</v>
      </c>
      <c r="E28" s="158">
        <f>SUM(E16:E27)</f>
        <v>6722</v>
      </c>
      <c r="F28" s="158">
        <f>SUM(F16:F27)</f>
        <v>0</v>
      </c>
      <c r="G28" s="158">
        <f t="shared" si="1"/>
        <v>6100</v>
      </c>
      <c r="H28" s="158">
        <f>SUM(H16:H27)</f>
        <v>622</v>
      </c>
      <c r="I28" s="158">
        <f>SUM(I16:I27)</f>
        <v>89</v>
      </c>
      <c r="J28" s="158">
        <f t="shared" si="3"/>
        <v>276</v>
      </c>
      <c r="K28" s="158">
        <f>SUM(K16:K27)</f>
        <v>0</v>
      </c>
      <c r="L28" s="158">
        <f>SUM(L16:L27)</f>
        <v>257</v>
      </c>
      <c r="M28" s="159">
        <f>SUM(M16:M27)</f>
        <v>257</v>
      </c>
      <c r="N28" s="160">
        <f t="shared" si="5"/>
        <v>0.59099999999999997</v>
      </c>
      <c r="O28" s="17"/>
    </row>
    <row r="29" spans="1:15" s="78" customFormat="1" ht="15.75" thickTop="1">
      <c r="A29" s="138" t="s">
        <v>22</v>
      </c>
      <c r="B29" s="161"/>
      <c r="C29" s="161"/>
      <c r="D29" s="161"/>
      <c r="E29" s="161">
        <f t="shared" ref="E29:M29" si="6">ROUND(+E28/$K$9,2)</f>
        <v>15.45</v>
      </c>
      <c r="F29" s="161">
        <f t="shared" si="6"/>
        <v>0</v>
      </c>
      <c r="G29" s="161">
        <f t="shared" si="6"/>
        <v>14.02</v>
      </c>
      <c r="H29" s="161">
        <f t="shared" si="6"/>
        <v>1.43</v>
      </c>
      <c r="I29" s="161">
        <f t="shared" si="6"/>
        <v>0.2</v>
      </c>
      <c r="J29" s="161">
        <f t="shared" si="6"/>
        <v>0.63</v>
      </c>
      <c r="K29" s="161">
        <f t="shared" si="6"/>
        <v>0</v>
      </c>
      <c r="L29" s="161">
        <f t="shared" si="6"/>
        <v>0.59</v>
      </c>
      <c r="M29" s="162">
        <f t="shared" si="6"/>
        <v>0.59</v>
      </c>
      <c r="N29" s="163"/>
      <c r="O29" s="17"/>
    </row>
    <row r="30" spans="1:15" s="78" customFormat="1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90.746801547158583</v>
      </c>
      <c r="H30" s="145">
        <f t="shared" si="7"/>
        <v>9.2531984528414153</v>
      </c>
      <c r="I30" s="145">
        <f t="shared" si="7"/>
        <v>1.3240107110978874</v>
      </c>
      <c r="J30" s="145">
        <f t="shared" si="7"/>
        <v>4.1059208568878311</v>
      </c>
      <c r="K30" s="145">
        <f t="shared" si="7"/>
        <v>0</v>
      </c>
      <c r="L30" s="145">
        <f t="shared" si="7"/>
        <v>3.8232668848556979</v>
      </c>
      <c r="M30" s="165">
        <f t="shared" si="7"/>
        <v>3.8232668848556979</v>
      </c>
      <c r="N30" s="157"/>
      <c r="O30" s="17"/>
    </row>
    <row r="31" spans="1:15" s="78" customFormat="1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 s="78" customFormat="1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 s="78" customFormat="1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 s="78" customFormat="1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 s="78" customFormat="1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 s="78" customFormat="1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 s="78" customFormat="1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33">
      <c r="D38" s="194"/>
      <c r="E38" s="210"/>
      <c r="F38" s="210"/>
      <c r="G38" s="210"/>
    </row>
    <row r="39" spans="1:15">
      <c r="O39" s="44"/>
    </row>
    <row r="40" spans="1:15" ht="23.25">
      <c r="B40" s="194"/>
      <c r="C40" s="194"/>
      <c r="D40" s="194"/>
      <c r="E40" s="194"/>
      <c r="F40" s="194"/>
      <c r="G40" s="194"/>
      <c r="H40" s="194"/>
      <c r="I40" s="194"/>
      <c r="J40" s="194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174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817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115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93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217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217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217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217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217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217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217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217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217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217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163</v>
      </c>
      <c r="C21" s="142">
        <v>0</v>
      </c>
      <c r="D21" s="142">
        <v>0</v>
      </c>
      <c r="E21" s="142">
        <f t="shared" si="0"/>
        <v>163</v>
      </c>
      <c r="F21" s="217">
        <v>25</v>
      </c>
      <c r="G21" s="142">
        <f t="shared" si="1"/>
        <v>98</v>
      </c>
      <c r="H21" s="111">
        <v>0</v>
      </c>
      <c r="I21" s="111">
        <v>0</v>
      </c>
      <c r="J21" s="142">
        <f t="shared" si="2"/>
        <v>0</v>
      </c>
      <c r="K21" s="217">
        <v>40</v>
      </c>
      <c r="L21" s="111">
        <v>0</v>
      </c>
      <c r="M21" s="142">
        <f t="shared" si="3"/>
        <v>40</v>
      </c>
      <c r="N21" s="167">
        <f t="shared" si="4"/>
        <v>4.9000000000000002E-2</v>
      </c>
      <c r="O21" s="85"/>
    </row>
    <row r="22" spans="1:15">
      <c r="A22" s="167" t="s">
        <v>15</v>
      </c>
      <c r="B22" s="111">
        <v>417</v>
      </c>
      <c r="C22" s="142">
        <v>0</v>
      </c>
      <c r="D22" s="142">
        <v>0</v>
      </c>
      <c r="E22" s="142">
        <f t="shared" si="0"/>
        <v>417</v>
      </c>
      <c r="F22" s="217">
        <v>52</v>
      </c>
      <c r="G22" s="142">
        <f t="shared" si="1"/>
        <v>297</v>
      </c>
      <c r="H22" s="111">
        <v>0</v>
      </c>
      <c r="I22" s="111">
        <v>0</v>
      </c>
      <c r="J22" s="142">
        <f t="shared" si="2"/>
        <v>0</v>
      </c>
      <c r="K22" s="217">
        <v>68</v>
      </c>
      <c r="L22" s="111">
        <v>0</v>
      </c>
      <c r="M22" s="142">
        <f t="shared" si="3"/>
        <v>68</v>
      </c>
      <c r="N22" s="167">
        <f t="shared" si="4"/>
        <v>8.3000000000000004E-2</v>
      </c>
      <c r="O22" s="85"/>
    </row>
    <row r="23" spans="1:15">
      <c r="A23" s="167" t="s">
        <v>16</v>
      </c>
      <c r="B23" s="111">
        <v>800</v>
      </c>
      <c r="C23" s="142">
        <v>0</v>
      </c>
      <c r="D23" s="142">
        <v>0</v>
      </c>
      <c r="E23" s="142">
        <f t="shared" si="0"/>
        <v>800</v>
      </c>
      <c r="F23" s="217">
        <v>140</v>
      </c>
      <c r="G23" s="142">
        <f t="shared" si="1"/>
        <v>450</v>
      </c>
      <c r="H23" s="111">
        <v>0</v>
      </c>
      <c r="I23" s="111">
        <v>0</v>
      </c>
      <c r="J23" s="142">
        <f t="shared" si="2"/>
        <v>0</v>
      </c>
      <c r="K23" s="217">
        <v>210</v>
      </c>
      <c r="L23" s="111">
        <v>0</v>
      </c>
      <c r="M23" s="142">
        <f t="shared" si="3"/>
        <v>210</v>
      </c>
      <c r="N23" s="167">
        <f t="shared" si="4"/>
        <v>0.25700000000000001</v>
      </c>
      <c r="O23" s="85"/>
    </row>
    <row r="24" spans="1:15">
      <c r="A24" s="167" t="s">
        <v>17</v>
      </c>
      <c r="B24" s="111">
        <v>213</v>
      </c>
      <c r="C24" s="142">
        <v>0</v>
      </c>
      <c r="D24" s="142">
        <v>0</v>
      </c>
      <c r="E24" s="142">
        <f t="shared" si="0"/>
        <v>213</v>
      </c>
      <c r="F24" s="217">
        <v>125</v>
      </c>
      <c r="G24" s="142">
        <f t="shared" si="1"/>
        <v>50</v>
      </c>
      <c r="H24" s="111">
        <v>0</v>
      </c>
      <c r="I24" s="111">
        <v>0</v>
      </c>
      <c r="J24" s="142">
        <f t="shared" si="2"/>
        <v>0</v>
      </c>
      <c r="K24" s="217">
        <v>38</v>
      </c>
      <c r="L24" s="111">
        <v>0</v>
      </c>
      <c r="M24" s="142">
        <f t="shared" si="3"/>
        <v>38</v>
      </c>
      <c r="N24" s="167">
        <f t="shared" si="4"/>
        <v>4.7E-2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217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217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217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217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217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217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74" t="s">
        <v>21</v>
      </c>
      <c r="B28" s="158">
        <f>SUM(B16:B27)</f>
        <v>1593</v>
      </c>
      <c r="C28" s="158">
        <f>SUM(C16:C27)</f>
        <v>0</v>
      </c>
      <c r="D28" s="158">
        <f>SUM(D16:D27)</f>
        <v>0</v>
      </c>
      <c r="E28" s="158">
        <f>SUM(E16:E27)</f>
        <v>1593</v>
      </c>
      <c r="F28" s="158">
        <f>SUM(F16:F27)</f>
        <v>342</v>
      </c>
      <c r="G28" s="158">
        <f t="shared" si="1"/>
        <v>895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356</v>
      </c>
      <c r="L28" s="158">
        <f>SUM(L16:L27)</f>
        <v>0</v>
      </c>
      <c r="M28" s="158">
        <f>SUM(M16:M27)</f>
        <v>356</v>
      </c>
      <c r="N28" s="168">
        <f t="shared" si="4"/>
        <v>0.436</v>
      </c>
      <c r="O28" s="85"/>
    </row>
    <row r="29" spans="1:15" ht="15.75" thickTop="1">
      <c r="A29" s="170" t="s">
        <v>22</v>
      </c>
      <c r="B29" s="170"/>
      <c r="C29" s="170"/>
      <c r="D29" s="170"/>
      <c r="E29" s="170">
        <f t="shared" ref="E29:M29" si="5">ROUND(+E28/$K$9,2)</f>
        <v>1.95</v>
      </c>
      <c r="F29" s="170">
        <f t="shared" si="5"/>
        <v>0.42</v>
      </c>
      <c r="G29" s="170">
        <f t="shared" si="5"/>
        <v>1.1000000000000001</v>
      </c>
      <c r="H29" s="170">
        <f t="shared" si="5"/>
        <v>0</v>
      </c>
      <c r="I29" s="170">
        <f t="shared" si="5"/>
        <v>0</v>
      </c>
      <c r="J29" s="170">
        <f t="shared" si="5"/>
        <v>0</v>
      </c>
      <c r="K29" s="170">
        <f t="shared" si="5"/>
        <v>0.44</v>
      </c>
      <c r="L29" s="170">
        <f t="shared" si="5"/>
        <v>0</v>
      </c>
      <c r="M29" s="170">
        <f t="shared" si="5"/>
        <v>0.44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21.468926553672315</v>
      </c>
      <c r="G30" s="145">
        <f t="shared" si="6"/>
        <v>56.183301946013806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22.347771500313872</v>
      </c>
      <c r="L30" s="145">
        <f t="shared" si="6"/>
        <v>0</v>
      </c>
      <c r="M30" s="145">
        <f t="shared" si="6"/>
        <v>22.347771500313872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172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41" spans="1:15" ht="23.25">
      <c r="B41" s="196"/>
      <c r="C41" s="196"/>
      <c r="D41" s="196"/>
      <c r="E41" s="196"/>
      <c r="F41" s="196"/>
      <c r="G41" s="196"/>
      <c r="H41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113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864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</row>
    <row r="17" spans="1:14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</row>
    <row r="18" spans="1:14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</row>
    <row r="19" spans="1:14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</row>
    <row r="20" spans="1:14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</row>
    <row r="21" spans="1:14">
      <c r="A21" s="140" t="s">
        <v>14</v>
      </c>
      <c r="B21" s="110">
        <v>9</v>
      </c>
      <c r="C21" s="141">
        <v>0</v>
      </c>
      <c r="D21" s="141">
        <v>0</v>
      </c>
      <c r="E21" s="142">
        <f t="shared" si="0"/>
        <v>9</v>
      </c>
      <c r="F21" s="110">
        <v>0</v>
      </c>
      <c r="G21" s="142">
        <f t="shared" si="1"/>
        <v>9</v>
      </c>
      <c r="H21" s="110">
        <v>0</v>
      </c>
      <c r="I21" s="110">
        <v>0</v>
      </c>
      <c r="J21" s="142">
        <f t="shared" si="2"/>
        <v>0</v>
      </c>
      <c r="K21" s="110">
        <v>0</v>
      </c>
      <c r="L21" s="110">
        <v>0</v>
      </c>
      <c r="M21" s="142">
        <f t="shared" si="3"/>
        <v>0</v>
      </c>
      <c r="N21" s="140">
        <f t="shared" si="4"/>
        <v>0</v>
      </c>
    </row>
    <row r="22" spans="1:14">
      <c r="A22" s="140" t="s">
        <v>15</v>
      </c>
      <c r="B22" s="110">
        <v>381</v>
      </c>
      <c r="C22" s="141">
        <v>0</v>
      </c>
      <c r="D22" s="141">
        <v>0</v>
      </c>
      <c r="E22" s="142">
        <f t="shared" si="0"/>
        <v>381</v>
      </c>
      <c r="F22" s="110">
        <v>43</v>
      </c>
      <c r="G22" s="142">
        <f t="shared" si="1"/>
        <v>218</v>
      </c>
      <c r="H22" s="110">
        <v>0</v>
      </c>
      <c r="I22" s="110">
        <v>0</v>
      </c>
      <c r="J22" s="142">
        <f t="shared" si="2"/>
        <v>0</v>
      </c>
      <c r="K22" s="110">
        <v>120</v>
      </c>
      <c r="L22" s="110">
        <v>0</v>
      </c>
      <c r="M22" s="142">
        <f t="shared" si="3"/>
        <v>120</v>
      </c>
      <c r="N22" s="140">
        <f t="shared" si="4"/>
        <v>0.13900000000000001</v>
      </c>
    </row>
    <row r="23" spans="1:14">
      <c r="A23" s="140" t="s">
        <v>16</v>
      </c>
      <c r="B23" s="110">
        <v>676</v>
      </c>
      <c r="C23" s="141">
        <v>0</v>
      </c>
      <c r="D23" s="141">
        <v>0</v>
      </c>
      <c r="E23" s="142">
        <f t="shared" si="0"/>
        <v>676</v>
      </c>
      <c r="F23" s="110">
        <v>39</v>
      </c>
      <c r="G23" s="142">
        <f t="shared" si="1"/>
        <v>381</v>
      </c>
      <c r="H23" s="110">
        <v>0</v>
      </c>
      <c r="I23" s="110">
        <v>0</v>
      </c>
      <c r="J23" s="142">
        <f t="shared" si="2"/>
        <v>0</v>
      </c>
      <c r="K23" s="110">
        <v>256</v>
      </c>
      <c r="L23" s="110">
        <v>0</v>
      </c>
      <c r="M23" s="142">
        <f t="shared" si="3"/>
        <v>256</v>
      </c>
      <c r="N23" s="140">
        <f t="shared" si="4"/>
        <v>0.29599999999999999</v>
      </c>
    </row>
    <row r="24" spans="1:14">
      <c r="A24" s="140" t="s">
        <v>17</v>
      </c>
      <c r="B24" s="110">
        <v>124</v>
      </c>
      <c r="C24" s="141">
        <v>0</v>
      </c>
      <c r="D24" s="141">
        <v>0</v>
      </c>
      <c r="E24" s="142">
        <f t="shared" si="0"/>
        <v>124</v>
      </c>
      <c r="F24" s="110">
        <v>29</v>
      </c>
      <c r="G24" s="142">
        <f t="shared" si="1"/>
        <v>19</v>
      </c>
      <c r="H24" s="110">
        <v>0</v>
      </c>
      <c r="I24" s="110">
        <v>0</v>
      </c>
      <c r="J24" s="142">
        <f t="shared" si="2"/>
        <v>0</v>
      </c>
      <c r="K24" s="110">
        <v>76</v>
      </c>
      <c r="L24" s="110">
        <v>0</v>
      </c>
      <c r="M24" s="142">
        <f t="shared" si="3"/>
        <v>76</v>
      </c>
      <c r="N24" s="140">
        <f t="shared" si="4"/>
        <v>8.7999999999999995E-2</v>
      </c>
    </row>
    <row r="25" spans="1:14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</row>
    <row r="26" spans="1:14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</row>
    <row r="27" spans="1:14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</row>
    <row r="28" spans="1:14" ht="15.75" thickBot="1">
      <c r="A28" s="140" t="s">
        <v>21</v>
      </c>
      <c r="B28" s="158">
        <f>SUM(B16:B27)</f>
        <v>1190</v>
      </c>
      <c r="C28" s="158">
        <f>SUM(C16:C27)</f>
        <v>0</v>
      </c>
      <c r="D28" s="158">
        <f>SUM(D16:D27)</f>
        <v>0</v>
      </c>
      <c r="E28" s="158">
        <f>SUM(E16:E27)</f>
        <v>1190</v>
      </c>
      <c r="F28" s="158">
        <f>SUM(F16:F27)</f>
        <v>111</v>
      </c>
      <c r="G28" s="158">
        <f t="shared" si="1"/>
        <v>627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452</v>
      </c>
      <c r="L28" s="158">
        <f>SUM(L16:L27)</f>
        <v>0</v>
      </c>
      <c r="M28" s="158">
        <f>SUM(M16:M27)</f>
        <v>452</v>
      </c>
      <c r="N28" s="143">
        <f t="shared" si="4"/>
        <v>0.52300000000000002</v>
      </c>
    </row>
    <row r="29" spans="1:14" ht="15.75" thickTop="1">
      <c r="A29" s="138" t="s">
        <v>22</v>
      </c>
      <c r="B29" s="139"/>
      <c r="C29" s="139"/>
      <c r="D29" s="139"/>
      <c r="E29" s="161">
        <f t="shared" ref="E29:M29" si="5">ROUND(+E28/$K$9,2)</f>
        <v>1.38</v>
      </c>
      <c r="F29" s="161">
        <f t="shared" si="5"/>
        <v>0.13</v>
      </c>
      <c r="G29" s="161">
        <f t="shared" si="5"/>
        <v>0.73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0.52</v>
      </c>
      <c r="L29" s="161">
        <f t="shared" si="5"/>
        <v>0</v>
      </c>
      <c r="M29" s="161">
        <f t="shared" si="5"/>
        <v>0.52</v>
      </c>
      <c r="N29" s="139"/>
    </row>
    <row r="30" spans="1:14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9.3277310924369754</v>
      </c>
      <c r="G30" s="145">
        <f t="shared" si="6"/>
        <v>52.689075630252105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37.983193277310924</v>
      </c>
      <c r="L30" s="145">
        <f t="shared" si="6"/>
        <v>0</v>
      </c>
      <c r="M30" s="145">
        <f t="shared" si="6"/>
        <v>37.983193277310924</v>
      </c>
      <c r="N30" s="140"/>
    </row>
    <row r="31" spans="1:14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4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4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4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4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</row>
    <row r="37" spans="1:14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43" spans="1:14" ht="23.25">
      <c r="B43" s="194"/>
      <c r="C43" s="194"/>
      <c r="D43" s="194"/>
      <c r="E43" s="194"/>
      <c r="F43" s="194"/>
      <c r="G43" s="194"/>
      <c r="H43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180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5471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192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128"/>
      <c r="B15" s="128" t="s">
        <v>32</v>
      </c>
      <c r="C15" s="128" t="s">
        <v>40</v>
      </c>
      <c r="D15" s="128" t="s">
        <v>32</v>
      </c>
      <c r="E15" s="128"/>
      <c r="F15" s="128" t="s">
        <v>55</v>
      </c>
      <c r="G15" s="128" t="s">
        <v>60</v>
      </c>
      <c r="H15" s="128" t="s">
        <v>62</v>
      </c>
      <c r="I15" s="129"/>
      <c r="J15" s="128"/>
      <c r="K15" s="128" t="s">
        <v>93</v>
      </c>
      <c r="L15" s="128" t="s">
        <v>76</v>
      </c>
      <c r="M15" s="128" t="s">
        <v>21</v>
      </c>
      <c r="N15" s="130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111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111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111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111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111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111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111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111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2147</v>
      </c>
      <c r="C20" s="142">
        <v>0</v>
      </c>
      <c r="D20" s="142">
        <v>0</v>
      </c>
      <c r="E20" s="142">
        <f t="shared" si="0"/>
        <v>2147</v>
      </c>
      <c r="F20" s="111">
        <v>650</v>
      </c>
      <c r="G20" s="142">
        <f t="shared" si="1"/>
        <v>1497</v>
      </c>
      <c r="H20" s="111">
        <v>0</v>
      </c>
      <c r="I20" s="111">
        <v>0</v>
      </c>
      <c r="J20" s="142">
        <f t="shared" si="2"/>
        <v>0</v>
      </c>
      <c r="K20" s="111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2326</v>
      </c>
      <c r="C21" s="142">
        <v>0</v>
      </c>
      <c r="D21" s="142">
        <v>0</v>
      </c>
      <c r="E21" s="142">
        <f t="shared" si="0"/>
        <v>2326</v>
      </c>
      <c r="F21" s="111">
        <v>600</v>
      </c>
      <c r="G21" s="142">
        <f t="shared" si="1"/>
        <v>1610</v>
      </c>
      <c r="H21" s="111">
        <v>0</v>
      </c>
      <c r="I21" s="111">
        <v>0</v>
      </c>
      <c r="J21" s="142">
        <f t="shared" si="2"/>
        <v>0</v>
      </c>
      <c r="K21" s="217">
        <v>116</v>
      </c>
      <c r="L21" s="111">
        <v>0</v>
      </c>
      <c r="M21" s="142">
        <f t="shared" si="3"/>
        <v>116</v>
      </c>
      <c r="N21" s="167">
        <f t="shared" si="4"/>
        <v>2.1000000000000001E-2</v>
      </c>
      <c r="O21" s="85"/>
    </row>
    <row r="22" spans="1:15">
      <c r="A22" s="167" t="s">
        <v>15</v>
      </c>
      <c r="B22" s="111">
        <v>2029</v>
      </c>
      <c r="C22" s="142">
        <v>0</v>
      </c>
      <c r="D22" s="142">
        <v>0</v>
      </c>
      <c r="E22" s="142">
        <f t="shared" si="0"/>
        <v>2029</v>
      </c>
      <c r="F22" s="111">
        <v>865</v>
      </c>
      <c r="G22" s="142">
        <f t="shared" si="1"/>
        <v>794</v>
      </c>
      <c r="H22" s="193">
        <v>0</v>
      </c>
      <c r="I22" s="111">
        <v>0</v>
      </c>
      <c r="J22" s="142">
        <f t="shared" si="2"/>
        <v>0</v>
      </c>
      <c r="K22" s="217">
        <v>370</v>
      </c>
      <c r="L22" s="111">
        <v>0</v>
      </c>
      <c r="M22" s="142">
        <f t="shared" si="3"/>
        <v>370</v>
      </c>
      <c r="N22" s="167">
        <f t="shared" si="4"/>
        <v>6.8000000000000005E-2</v>
      </c>
      <c r="O22" s="85"/>
    </row>
    <row r="23" spans="1:15">
      <c r="A23" s="167" t="s">
        <v>16</v>
      </c>
      <c r="B23" s="111">
        <v>2953</v>
      </c>
      <c r="C23" s="142">
        <v>0</v>
      </c>
      <c r="D23" s="142">
        <v>0</v>
      </c>
      <c r="E23" s="142">
        <f t="shared" si="0"/>
        <v>2953</v>
      </c>
      <c r="F23" s="111">
        <v>1393</v>
      </c>
      <c r="G23" s="142">
        <f t="shared" si="1"/>
        <v>710</v>
      </c>
      <c r="H23" s="193">
        <v>0</v>
      </c>
      <c r="I23" s="111">
        <v>0</v>
      </c>
      <c r="J23" s="142">
        <f t="shared" si="2"/>
        <v>0</v>
      </c>
      <c r="K23" s="217">
        <v>850</v>
      </c>
      <c r="L23" s="111">
        <v>0</v>
      </c>
      <c r="M23" s="142">
        <f t="shared" si="3"/>
        <v>850</v>
      </c>
      <c r="N23" s="167">
        <f t="shared" si="4"/>
        <v>0.155</v>
      </c>
      <c r="O23" s="85"/>
    </row>
    <row r="24" spans="1:15">
      <c r="A24" s="167" t="s">
        <v>17</v>
      </c>
      <c r="B24" s="111">
        <v>615</v>
      </c>
      <c r="C24" s="142">
        <v>0</v>
      </c>
      <c r="D24" s="142">
        <v>0</v>
      </c>
      <c r="E24" s="142">
        <f t="shared" si="0"/>
        <v>615</v>
      </c>
      <c r="F24" s="111">
        <v>183</v>
      </c>
      <c r="G24" s="142">
        <f t="shared" si="1"/>
        <v>182</v>
      </c>
      <c r="H24" s="111">
        <v>0</v>
      </c>
      <c r="I24" s="111">
        <v>0</v>
      </c>
      <c r="J24" s="142">
        <f t="shared" si="2"/>
        <v>0</v>
      </c>
      <c r="K24" s="217">
        <v>250</v>
      </c>
      <c r="L24" s="111">
        <v>0</v>
      </c>
      <c r="M24" s="142">
        <f t="shared" si="3"/>
        <v>250</v>
      </c>
      <c r="N24" s="167">
        <f t="shared" si="4"/>
        <v>4.5999999999999999E-2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111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111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111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111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111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111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67" t="s">
        <v>21</v>
      </c>
      <c r="B28" s="142">
        <f>SUM(B16:B27)</f>
        <v>10070</v>
      </c>
      <c r="C28" s="142">
        <f>SUM(C16:C27)</f>
        <v>0</v>
      </c>
      <c r="D28" s="142">
        <f>SUM(D16:D27)</f>
        <v>0</v>
      </c>
      <c r="E28" s="142">
        <f>SUM(E16:E27)</f>
        <v>10070</v>
      </c>
      <c r="F28" s="142">
        <f>SUM(F16:F27)</f>
        <v>3691</v>
      </c>
      <c r="G28" s="142">
        <f t="shared" si="1"/>
        <v>4793</v>
      </c>
      <c r="H28" s="142">
        <f>SUM(H16:H27)</f>
        <v>0</v>
      </c>
      <c r="I28" s="142">
        <f>SUM(I16:I27)</f>
        <v>0</v>
      </c>
      <c r="J28" s="142">
        <f t="shared" si="2"/>
        <v>0</v>
      </c>
      <c r="K28" s="142">
        <f>SUM(K16:K27)</f>
        <v>1586</v>
      </c>
      <c r="L28" s="142">
        <f>SUM(L16:L27)</f>
        <v>0</v>
      </c>
      <c r="M28" s="142">
        <f>SUM(M16:M27)</f>
        <v>1586</v>
      </c>
      <c r="N28" s="168">
        <f t="shared" si="4"/>
        <v>0.28999999999999998</v>
      </c>
      <c r="O28" s="85"/>
    </row>
    <row r="29" spans="1:15" ht="15.75" thickTop="1">
      <c r="A29" s="169" t="s">
        <v>22</v>
      </c>
      <c r="B29" s="169"/>
      <c r="C29" s="169"/>
      <c r="D29" s="169"/>
      <c r="E29" s="169">
        <f t="shared" ref="E29:M29" si="5">ROUND(+E28/$K$9,2)</f>
        <v>1.84</v>
      </c>
      <c r="F29" s="169">
        <f t="shared" si="5"/>
        <v>0.67</v>
      </c>
      <c r="G29" s="169">
        <f t="shared" si="5"/>
        <v>0.88</v>
      </c>
      <c r="H29" s="169">
        <f t="shared" si="5"/>
        <v>0</v>
      </c>
      <c r="I29" s="169">
        <f t="shared" si="5"/>
        <v>0</v>
      </c>
      <c r="J29" s="169">
        <f t="shared" si="5"/>
        <v>0</v>
      </c>
      <c r="K29" s="169">
        <f t="shared" si="5"/>
        <v>0.28999999999999998</v>
      </c>
      <c r="L29" s="169">
        <f t="shared" si="5"/>
        <v>0</v>
      </c>
      <c r="M29" s="169">
        <f t="shared" si="5"/>
        <v>0.28999999999999998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36.653426017874871</v>
      </c>
      <c r="G30" s="145">
        <f t="shared" si="6"/>
        <v>47.596822244289974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15.749751737835155</v>
      </c>
      <c r="L30" s="145">
        <f t="shared" si="6"/>
        <v>0</v>
      </c>
      <c r="M30" s="145">
        <f t="shared" si="6"/>
        <v>15.749751737835155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77"/>
      <c r="C37" s="78" t="s">
        <v>0</v>
      </c>
      <c r="D37" s="78" t="s">
        <v>0</v>
      </c>
      <c r="E37" s="78" t="s">
        <v>0</v>
      </c>
    </row>
    <row r="38" spans="1:15">
      <c r="A38" s="77"/>
      <c r="C38" s="78" t="s">
        <v>0</v>
      </c>
      <c r="D38" s="78" t="s">
        <v>0</v>
      </c>
      <c r="E38" s="78" t="s">
        <v>0</v>
      </c>
    </row>
    <row r="40" spans="1:15" ht="23.25">
      <c r="B40" s="196"/>
      <c r="C40" s="196"/>
      <c r="D40" s="196"/>
      <c r="E40" s="196"/>
      <c r="F40" s="196"/>
      <c r="G40" s="196"/>
      <c r="H40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89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19090</v>
      </c>
      <c r="L9" s="137"/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90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127"/>
      <c r="B15" s="127" t="s">
        <v>32</v>
      </c>
      <c r="C15" s="127" t="s">
        <v>40</v>
      </c>
      <c r="D15" s="127" t="s">
        <v>32</v>
      </c>
      <c r="E15" s="127"/>
      <c r="F15" s="127" t="s">
        <v>55</v>
      </c>
      <c r="G15" s="127" t="s">
        <v>60</v>
      </c>
      <c r="H15" s="127" t="s">
        <v>62</v>
      </c>
      <c r="I15" s="203"/>
      <c r="J15" s="127"/>
      <c r="K15" s="132" t="s">
        <v>93</v>
      </c>
      <c r="L15" s="127" t="s">
        <v>76</v>
      </c>
      <c r="M15" s="127" t="s">
        <v>21</v>
      </c>
      <c r="N15" s="125" t="s">
        <v>81</v>
      </c>
      <c r="O15" s="17"/>
    </row>
    <row r="16" spans="1:15">
      <c r="A16" s="140" t="s">
        <v>9</v>
      </c>
      <c r="B16" s="155">
        <f>frnklin!B16+'frnk pmp'!B16+nap!B16+sup!B16+'cout ne'!B16</f>
        <v>0</v>
      </c>
      <c r="C16" s="204">
        <v>0</v>
      </c>
      <c r="D16" s="204">
        <v>0</v>
      </c>
      <c r="E16" s="142">
        <f t="shared" ref="E16:E27" si="0">B16+C16-D16</f>
        <v>0</v>
      </c>
      <c r="F16" s="182">
        <f>frnklin!F16+'frnk pmp'!F16+nap!F16+sup!F16+'cout ne'!F16</f>
        <v>0</v>
      </c>
      <c r="G16" s="142">
        <f t="shared" ref="G16:G28" si="1">E16-F16-H16-K16</f>
        <v>0</v>
      </c>
      <c r="H16" s="182">
        <f>frnklin!H16+'frnk pmp'!H16+nap!H16+sup!H16+'cout ne'!H16</f>
        <v>0</v>
      </c>
      <c r="I16" s="204">
        <v>0</v>
      </c>
      <c r="J16" s="142">
        <f t="shared" ref="J16:J28" si="2">H16-I16-L16</f>
        <v>0</v>
      </c>
      <c r="K16" s="182">
        <f>frnklin!K16+'frnk pmp'!K16+nap!K16+sup!K16+'cout ne'!K16</f>
        <v>0</v>
      </c>
      <c r="L16" s="182">
        <f>frnklin!L16+'frnk pmp'!L16+nap!L16+sup!L16+'cout ne'!L16</f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55">
        <f>frnklin!B17+'frnk pmp'!B17+nap!B17+sup!B17+'cout ne'!B17</f>
        <v>0</v>
      </c>
      <c r="C17" s="204">
        <v>0</v>
      </c>
      <c r="D17" s="204">
        <v>0</v>
      </c>
      <c r="E17" s="142">
        <f t="shared" si="0"/>
        <v>0</v>
      </c>
      <c r="F17" s="182">
        <f>frnklin!F17+'frnk pmp'!F17+nap!F17+sup!F17+'cout ne'!F17</f>
        <v>0</v>
      </c>
      <c r="G17" s="142">
        <f t="shared" si="1"/>
        <v>0</v>
      </c>
      <c r="H17" s="182">
        <f>frnklin!H17+'frnk pmp'!H17+nap!H17+sup!H17+'cout ne'!H17</f>
        <v>0</v>
      </c>
      <c r="I17" s="204">
        <v>0</v>
      </c>
      <c r="J17" s="142">
        <f t="shared" si="2"/>
        <v>0</v>
      </c>
      <c r="K17" s="182">
        <f>frnklin!K17+'frnk pmp'!K17+nap!K17+sup!K17+'cout ne'!K17</f>
        <v>0</v>
      </c>
      <c r="L17" s="182">
        <f>frnklin!L17+'frnk pmp'!L17+nap!L17+sup!L17+'cout ne'!L17</f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55">
        <f>frnklin!B18+'frnk pmp'!B18+nap!B18+sup!B18+'cout ne'!B18</f>
        <v>0</v>
      </c>
      <c r="C18" s="204">
        <v>0</v>
      </c>
      <c r="D18" s="204">
        <v>0</v>
      </c>
      <c r="E18" s="142">
        <f t="shared" si="0"/>
        <v>0</v>
      </c>
      <c r="F18" s="182">
        <f>frnklin!F18+'frnk pmp'!F18+nap!F18+sup!F18+'cout ne'!F18</f>
        <v>0</v>
      </c>
      <c r="G18" s="142">
        <f t="shared" si="1"/>
        <v>0</v>
      </c>
      <c r="H18" s="182">
        <f>frnklin!H18+'frnk pmp'!H18+nap!H18+sup!H18+'cout ne'!H18</f>
        <v>0</v>
      </c>
      <c r="I18" s="204">
        <v>0</v>
      </c>
      <c r="J18" s="142">
        <f t="shared" si="2"/>
        <v>0</v>
      </c>
      <c r="K18" s="182">
        <f>frnklin!K18+'frnk pmp'!K18+nap!K18+sup!K18+'cout ne'!K18</f>
        <v>0</v>
      </c>
      <c r="L18" s="182">
        <f>frnklin!L18+'frnk pmp'!L18+nap!L18+sup!L18+'cout ne'!L18</f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55">
        <f>frnklin!B19+'frnk pmp'!B19+nap!B19+sup!B19+'cout ne'!B19</f>
        <v>0</v>
      </c>
      <c r="C19" s="204">
        <v>0</v>
      </c>
      <c r="D19" s="204">
        <v>0</v>
      </c>
      <c r="E19" s="142">
        <f t="shared" si="0"/>
        <v>0</v>
      </c>
      <c r="F19" s="182">
        <f>frnklin!F19+'frnk pmp'!F19+nap!F19+sup!F19+'cout ne'!F19</f>
        <v>0</v>
      </c>
      <c r="G19" s="142">
        <f t="shared" si="1"/>
        <v>0</v>
      </c>
      <c r="H19" s="182">
        <f>frnklin!H19+'frnk pmp'!H19+nap!H19+sup!H19+'cout ne'!H19</f>
        <v>0</v>
      </c>
      <c r="I19" s="204">
        <v>0</v>
      </c>
      <c r="J19" s="142">
        <f t="shared" si="2"/>
        <v>0</v>
      </c>
      <c r="K19" s="182">
        <f>frnklin!K19+'frnk pmp'!K19+nap!K19+sup!K19+'cout ne'!K19</f>
        <v>0</v>
      </c>
      <c r="L19" s="182">
        <f>frnklin!L19+'frnk pmp'!L19+nap!L19+sup!L19+'cout ne'!L19</f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55">
        <f>frnklin!B20+'frnk pmp'!B20+nap!B20+sup!B20+'cout ne'!B20</f>
        <v>2147</v>
      </c>
      <c r="C20" s="204">
        <v>0</v>
      </c>
      <c r="D20" s="204">
        <v>0</v>
      </c>
      <c r="E20" s="142">
        <f t="shared" si="0"/>
        <v>2147</v>
      </c>
      <c r="F20" s="182">
        <f>frnklin!F20+'frnk pmp'!F20+nap!F20+sup!F20+'cout ne'!F20</f>
        <v>650</v>
      </c>
      <c r="G20" s="142">
        <f t="shared" si="1"/>
        <v>1497</v>
      </c>
      <c r="H20" s="182">
        <f>frnklin!H20+'frnk pmp'!H20+nap!H20+sup!H20+'cout ne'!H20</f>
        <v>0</v>
      </c>
      <c r="I20" s="204">
        <v>0</v>
      </c>
      <c r="J20" s="142">
        <f t="shared" si="2"/>
        <v>0</v>
      </c>
      <c r="K20" s="182">
        <f>frnklin!K20+'frnk pmp'!K20+nap!K20+sup!K20+'cout ne'!K20</f>
        <v>0</v>
      </c>
      <c r="L20" s="182">
        <f>frnklin!L20+'frnk pmp'!L20+nap!L20+sup!L20+'cout ne'!L20</f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55">
        <f>frnklin!B21+'frnk pmp'!B21+nap!B21+sup!B21+'cout ne'!B21</f>
        <v>7041</v>
      </c>
      <c r="C21" s="204">
        <v>0</v>
      </c>
      <c r="D21" s="204">
        <v>0</v>
      </c>
      <c r="E21" s="142">
        <f t="shared" si="0"/>
        <v>7041</v>
      </c>
      <c r="F21" s="182">
        <f>frnklin!F21+'frnk pmp'!F21+nap!F21+sup!F21+'cout ne'!F21</f>
        <v>1570</v>
      </c>
      <c r="G21" s="142">
        <f t="shared" si="1"/>
        <v>4697</v>
      </c>
      <c r="H21" s="182">
        <f>frnklin!H21+'frnk pmp'!H21+nap!H21+sup!H21+'cout ne'!H21</f>
        <v>0</v>
      </c>
      <c r="I21" s="204">
        <v>0</v>
      </c>
      <c r="J21" s="142">
        <f t="shared" si="2"/>
        <v>0</v>
      </c>
      <c r="K21" s="182">
        <f>frnklin!K21+'frnk pmp'!K21+nap!K21+sup!K21+'cout ne'!K21</f>
        <v>774</v>
      </c>
      <c r="L21" s="182">
        <f>frnklin!L21+'frnk pmp'!L21+nap!L21+sup!L21+'cout ne'!L21</f>
        <v>0</v>
      </c>
      <c r="M21" s="142">
        <f t="shared" si="3"/>
        <v>774</v>
      </c>
      <c r="N21" s="140">
        <f t="shared" si="4"/>
        <v>4.1000000000000002E-2</v>
      </c>
      <c r="O21" s="17"/>
    </row>
    <row r="22" spans="1:15">
      <c r="A22" s="140" t="s">
        <v>15</v>
      </c>
      <c r="B22" s="155">
        <f>frnklin!B22+'frnk pmp'!B22+nap!B22+sup!B22+'cout ne'!B22</f>
        <v>9447</v>
      </c>
      <c r="C22" s="204">
        <v>0</v>
      </c>
      <c r="D22" s="204">
        <v>0</v>
      </c>
      <c r="E22" s="142">
        <f t="shared" si="0"/>
        <v>9447</v>
      </c>
      <c r="F22" s="182">
        <f>frnklin!F22+'frnk pmp'!F22+nap!F22+sup!F22+'cout ne'!F22</f>
        <v>1876</v>
      </c>
      <c r="G22" s="142">
        <f t="shared" si="1"/>
        <v>5631.8</v>
      </c>
      <c r="H22" s="182">
        <f>frnklin!H22+'frnk pmp'!H22+nap!H22+sup!H22+'cout ne'!H22</f>
        <v>0</v>
      </c>
      <c r="I22" s="204">
        <v>0</v>
      </c>
      <c r="J22" s="142">
        <f t="shared" si="2"/>
        <v>0</v>
      </c>
      <c r="K22" s="182">
        <f>frnklin!K22+'frnk pmp'!K22+nap!K22+sup!K22+'cout ne'!K22</f>
        <v>1939.2</v>
      </c>
      <c r="L22" s="182">
        <f>frnklin!L22+'frnk pmp'!L22+nap!L22+sup!L22+'cout ne'!L22</f>
        <v>0</v>
      </c>
      <c r="M22" s="142">
        <f t="shared" si="3"/>
        <v>1939.2</v>
      </c>
      <c r="N22" s="140">
        <f t="shared" si="4"/>
        <v>0.10199999999999999</v>
      </c>
      <c r="O22" s="17"/>
    </row>
    <row r="23" spans="1:15">
      <c r="A23" s="140" t="s">
        <v>16</v>
      </c>
      <c r="B23" s="155">
        <f>frnklin!B23+'frnk pmp'!B23+nap!B23+sup!B23+'cout ne'!B23</f>
        <v>13693</v>
      </c>
      <c r="C23" s="204">
        <v>0</v>
      </c>
      <c r="D23" s="204">
        <v>0</v>
      </c>
      <c r="E23" s="142">
        <f t="shared" si="0"/>
        <v>13693</v>
      </c>
      <c r="F23" s="182">
        <f>frnklin!F23+'frnk pmp'!F23+nap!F23+sup!F23+'cout ne'!F23</f>
        <v>2536</v>
      </c>
      <c r="G23" s="142">
        <f t="shared" si="1"/>
        <v>6772</v>
      </c>
      <c r="H23" s="182">
        <f>frnklin!H23+'frnk pmp'!H23+nap!H23+sup!H23+'cout ne'!H23</f>
        <v>0</v>
      </c>
      <c r="I23" s="204">
        <v>0</v>
      </c>
      <c r="J23" s="142">
        <f t="shared" si="2"/>
        <v>0</v>
      </c>
      <c r="K23" s="182">
        <f>frnklin!K23+'frnk pmp'!K23+nap!K23+sup!K23+'cout ne'!K23</f>
        <v>4385</v>
      </c>
      <c r="L23" s="182">
        <f>frnklin!L23+'frnk pmp'!L23+nap!L23+sup!L23+'cout ne'!L23</f>
        <v>0</v>
      </c>
      <c r="M23" s="142">
        <f t="shared" si="3"/>
        <v>4385</v>
      </c>
      <c r="N23" s="140">
        <f t="shared" si="4"/>
        <v>0.23</v>
      </c>
      <c r="O23" s="17"/>
    </row>
    <row r="24" spans="1:15">
      <c r="A24" s="140" t="s">
        <v>17</v>
      </c>
      <c r="B24" s="155">
        <f>frnklin!B24+'frnk pmp'!B24+nap!B24+sup!B24+'cout ne'!B24</f>
        <v>3074</v>
      </c>
      <c r="C24" s="204">
        <v>0</v>
      </c>
      <c r="D24" s="204">
        <v>0</v>
      </c>
      <c r="E24" s="142">
        <f t="shared" si="0"/>
        <v>3074</v>
      </c>
      <c r="F24" s="182">
        <f>frnklin!F24+'frnk pmp'!F24+nap!F24+sup!F24+'cout ne'!F24</f>
        <v>723</v>
      </c>
      <c r="G24" s="142">
        <f t="shared" si="1"/>
        <v>875</v>
      </c>
      <c r="H24" s="182">
        <f>frnklin!H24+'frnk pmp'!H24+nap!H24+sup!H24+'cout ne'!H24</f>
        <v>0</v>
      </c>
      <c r="I24" s="204">
        <v>0</v>
      </c>
      <c r="J24" s="142">
        <f t="shared" si="2"/>
        <v>0</v>
      </c>
      <c r="K24" s="182">
        <f>frnklin!K24+'frnk pmp'!K24+nap!K24+sup!K24+'cout ne'!K24</f>
        <v>1476</v>
      </c>
      <c r="L24" s="182">
        <f>frnklin!L24+'frnk pmp'!L24+nap!L24+sup!L24+'cout ne'!L24</f>
        <v>0</v>
      </c>
      <c r="M24" s="142">
        <f t="shared" si="3"/>
        <v>1476</v>
      </c>
      <c r="N24" s="140">
        <f t="shared" si="4"/>
        <v>7.6999999999999999E-2</v>
      </c>
      <c r="O24" s="17"/>
    </row>
    <row r="25" spans="1:15">
      <c r="A25" s="140" t="s">
        <v>18</v>
      </c>
      <c r="B25" s="155">
        <f>frnklin!B25+'frnk pmp'!B25+nap!B25+sup!B25+'cout ne'!B25</f>
        <v>0</v>
      </c>
      <c r="C25" s="204">
        <v>0</v>
      </c>
      <c r="D25" s="204">
        <v>0</v>
      </c>
      <c r="E25" s="142">
        <f t="shared" si="0"/>
        <v>0</v>
      </c>
      <c r="F25" s="182">
        <f>frnklin!F25+'frnk pmp'!F25+nap!F25+sup!F25+'cout ne'!F25</f>
        <v>0</v>
      </c>
      <c r="G25" s="142">
        <f t="shared" si="1"/>
        <v>0</v>
      </c>
      <c r="H25" s="182">
        <f>frnklin!H25+'frnk pmp'!H25+nap!H25+sup!H25+'cout ne'!H25</f>
        <v>0</v>
      </c>
      <c r="I25" s="204">
        <v>0</v>
      </c>
      <c r="J25" s="142">
        <f t="shared" si="2"/>
        <v>0</v>
      </c>
      <c r="K25" s="182">
        <f>frnklin!K25+'frnk pmp'!K25+nap!K25+sup!K25+'cout ne'!K25</f>
        <v>0</v>
      </c>
      <c r="L25" s="182">
        <f>frnklin!L25+'frnk pmp'!L25+nap!L25+sup!L25+'cout ne'!L25</f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55">
        <f>frnklin!B26+'frnk pmp'!B26+nap!B26+sup!B26+'cout ne'!B26</f>
        <v>0</v>
      </c>
      <c r="C26" s="204">
        <v>0</v>
      </c>
      <c r="D26" s="204">
        <v>0</v>
      </c>
      <c r="E26" s="142">
        <f t="shared" si="0"/>
        <v>0</v>
      </c>
      <c r="F26" s="182">
        <f>frnklin!F26+'frnk pmp'!F26+nap!F26+sup!F26+'cout ne'!F26</f>
        <v>0</v>
      </c>
      <c r="G26" s="142">
        <f t="shared" si="1"/>
        <v>0</v>
      </c>
      <c r="H26" s="182">
        <f>frnklin!H26+'frnk pmp'!H26+nap!H26+sup!H26+'cout ne'!H26</f>
        <v>0</v>
      </c>
      <c r="I26" s="204">
        <v>0</v>
      </c>
      <c r="J26" s="142">
        <f t="shared" si="2"/>
        <v>0</v>
      </c>
      <c r="K26" s="182">
        <f>frnklin!K26+'frnk pmp'!K26+nap!K26+sup!K26+'cout ne'!K26</f>
        <v>0</v>
      </c>
      <c r="L26" s="182">
        <f>frnklin!L26+'frnk pmp'!L26+nap!L26+sup!L26+'cout ne'!L26</f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55">
        <f>frnklin!B27+'frnk pmp'!B27+nap!B27+sup!B27+'cout ne'!B27</f>
        <v>0</v>
      </c>
      <c r="C27" s="204">
        <v>0</v>
      </c>
      <c r="D27" s="204">
        <v>0</v>
      </c>
      <c r="E27" s="142">
        <f t="shared" si="0"/>
        <v>0</v>
      </c>
      <c r="F27" s="182">
        <f>frnklin!F27+'frnk pmp'!F27+nap!F27+sup!F27+'cout ne'!F27</f>
        <v>0</v>
      </c>
      <c r="G27" s="142">
        <f t="shared" si="1"/>
        <v>0</v>
      </c>
      <c r="H27" s="182">
        <f>frnklin!H27+'frnk pmp'!H27+nap!H27+sup!H27+'cout ne'!H27</f>
        <v>0</v>
      </c>
      <c r="I27" s="204">
        <v>0</v>
      </c>
      <c r="J27" s="142">
        <f t="shared" si="2"/>
        <v>0</v>
      </c>
      <c r="K27" s="182">
        <f>frnklin!K27+'frnk pmp'!K27+nap!K27+sup!K27+'cout ne'!K27</f>
        <v>0</v>
      </c>
      <c r="L27" s="182">
        <f>frnklin!L27+'frnk pmp'!L27+nap!L27+sup!L27+'cout ne'!L27</f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55">
        <f>frnklin!B28+'frnk pmp'!B28+nap!B28+sup!B28+'cout ne'!B28</f>
        <v>35402</v>
      </c>
      <c r="C28" s="207">
        <f>SUM(C16:C27)</f>
        <v>0</v>
      </c>
      <c r="D28" s="207">
        <f>SUM(D16:D27)</f>
        <v>0</v>
      </c>
      <c r="E28" s="158">
        <f>SUM(E16:E27)</f>
        <v>35402</v>
      </c>
      <c r="F28" s="182">
        <f>frnklin!F28+'frnk pmp'!F28+nap!F28+sup!F28+'cout ne'!F28</f>
        <v>7355</v>
      </c>
      <c r="G28" s="158">
        <f t="shared" si="1"/>
        <v>19472.8</v>
      </c>
      <c r="H28" s="182">
        <f>frnklin!H28+'frnk pmp'!H28+nap!H28+sup!H28+'cout ne'!H28</f>
        <v>0</v>
      </c>
      <c r="I28" s="207">
        <f>SUM(I16:I27)</f>
        <v>0</v>
      </c>
      <c r="J28" s="158">
        <f t="shared" si="2"/>
        <v>0</v>
      </c>
      <c r="K28" s="182">
        <f>frnklin!K28+'frnk pmp'!K28+nap!K28+sup!K28+'cout ne'!K28</f>
        <v>8574.2000000000007</v>
      </c>
      <c r="L28" s="182">
        <f>frnklin!L28+'frnk pmp'!L28+nap!L28+sup!L28+'cout ne'!L28</f>
        <v>0</v>
      </c>
      <c r="M28" s="158">
        <f>SUM(M16:M27)</f>
        <v>8574.2000000000007</v>
      </c>
      <c r="N28" s="143">
        <f t="shared" si="4"/>
        <v>0.44900000000000001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5">ROUND(+E28/$K$9,2)</f>
        <v>1.85</v>
      </c>
      <c r="F29" s="144">
        <f t="shared" si="5"/>
        <v>0.39</v>
      </c>
      <c r="G29" s="144">
        <f t="shared" si="5"/>
        <v>1.02</v>
      </c>
      <c r="H29" s="144">
        <f t="shared" si="5"/>
        <v>0</v>
      </c>
      <c r="I29" s="144">
        <f t="shared" si="5"/>
        <v>0</v>
      </c>
      <c r="J29" s="144">
        <f t="shared" si="5"/>
        <v>0</v>
      </c>
      <c r="K29" s="144">
        <f t="shared" si="5"/>
        <v>0.45</v>
      </c>
      <c r="L29" s="144">
        <f t="shared" si="5"/>
        <v>0</v>
      </c>
      <c r="M29" s="144">
        <f t="shared" si="5"/>
        <v>0.45</v>
      </c>
      <c r="N29" s="138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20.775662391955258</v>
      </c>
      <c r="G30" s="145">
        <f t="shared" si="6"/>
        <v>55.004801988588213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24.219535619456529</v>
      </c>
      <c r="L30" s="145">
        <f t="shared" si="6"/>
        <v>0</v>
      </c>
      <c r="M30" s="145">
        <f t="shared" si="6"/>
        <v>24.219535619456529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  <row r="40" spans="1:15" ht="23.25">
      <c r="B40" s="1" t="s">
        <v>0</v>
      </c>
      <c r="C40" s="194"/>
      <c r="D40" s="194"/>
      <c r="E40" s="194"/>
      <c r="F40" s="194"/>
      <c r="G40" s="194"/>
      <c r="H40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183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859</v>
      </c>
      <c r="L9" s="137"/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 ht="15.75" thickBot="1">
      <c r="A15" s="188"/>
      <c r="B15" s="188" t="s">
        <v>32</v>
      </c>
      <c r="C15" s="188" t="s">
        <v>40</v>
      </c>
      <c r="D15" s="188" t="s">
        <v>32</v>
      </c>
      <c r="E15" s="188"/>
      <c r="F15" s="188" t="s">
        <v>55</v>
      </c>
      <c r="G15" s="188" t="s">
        <v>60</v>
      </c>
      <c r="H15" s="188" t="s">
        <v>62</v>
      </c>
      <c r="I15" s="189"/>
      <c r="J15" s="188"/>
      <c r="K15" s="188" t="s">
        <v>93</v>
      </c>
      <c r="L15" s="188" t="s">
        <v>76</v>
      </c>
      <c r="M15" s="188" t="s">
        <v>21</v>
      </c>
      <c r="N15" s="187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71</v>
      </c>
      <c r="C21" s="204">
        <v>0</v>
      </c>
      <c r="D21" s="204">
        <v>0</v>
      </c>
      <c r="E21" s="142">
        <f t="shared" si="0"/>
        <v>71</v>
      </c>
      <c r="F21" s="110">
        <v>0</v>
      </c>
      <c r="G21" s="142">
        <f t="shared" si="1"/>
        <v>17</v>
      </c>
      <c r="H21" s="110">
        <v>0</v>
      </c>
      <c r="I21" s="110">
        <v>0</v>
      </c>
      <c r="J21" s="142">
        <f t="shared" si="2"/>
        <v>0</v>
      </c>
      <c r="K21" s="110">
        <v>54</v>
      </c>
      <c r="L21" s="110">
        <v>0</v>
      </c>
      <c r="M21" s="142">
        <f t="shared" si="3"/>
        <v>54</v>
      </c>
      <c r="N21" s="140">
        <f t="shared" si="4"/>
        <v>6.3E-2</v>
      </c>
      <c r="O21" s="17"/>
    </row>
    <row r="22" spans="1:15">
      <c r="A22" s="140" t="s">
        <v>15</v>
      </c>
      <c r="B22" s="204">
        <v>172</v>
      </c>
      <c r="C22" s="204">
        <v>0</v>
      </c>
      <c r="D22" s="204">
        <v>0</v>
      </c>
      <c r="E22" s="142">
        <f t="shared" si="0"/>
        <v>172</v>
      </c>
      <c r="F22" s="110">
        <v>0</v>
      </c>
      <c r="G22" s="142">
        <f t="shared" si="1"/>
        <v>26</v>
      </c>
      <c r="H22" s="110">
        <v>0</v>
      </c>
      <c r="I22" s="110">
        <v>0</v>
      </c>
      <c r="J22" s="142">
        <f t="shared" si="2"/>
        <v>0</v>
      </c>
      <c r="K22" s="110">
        <v>146</v>
      </c>
      <c r="L22" s="110">
        <v>0</v>
      </c>
      <c r="M22" s="142">
        <f t="shared" si="3"/>
        <v>146</v>
      </c>
      <c r="N22" s="140">
        <f t="shared" si="4"/>
        <v>0.17</v>
      </c>
      <c r="O22" s="17"/>
    </row>
    <row r="23" spans="1:15">
      <c r="A23" s="140" t="s">
        <v>16</v>
      </c>
      <c r="B23" s="204">
        <v>222</v>
      </c>
      <c r="C23" s="204">
        <v>0</v>
      </c>
      <c r="D23" s="204">
        <v>0</v>
      </c>
      <c r="E23" s="142">
        <f t="shared" si="0"/>
        <v>222</v>
      </c>
      <c r="F23" s="110">
        <v>0</v>
      </c>
      <c r="G23" s="142">
        <f t="shared" si="1"/>
        <v>40</v>
      </c>
      <c r="H23" s="110">
        <v>0</v>
      </c>
      <c r="I23" s="110">
        <v>0</v>
      </c>
      <c r="J23" s="142">
        <f t="shared" si="2"/>
        <v>0</v>
      </c>
      <c r="K23" s="110">
        <v>182</v>
      </c>
      <c r="L23" s="110">
        <v>0</v>
      </c>
      <c r="M23" s="142">
        <f t="shared" si="3"/>
        <v>182</v>
      </c>
      <c r="N23" s="140">
        <f t="shared" si="4"/>
        <v>0.21199999999999999</v>
      </c>
      <c r="O23" s="17"/>
    </row>
    <row r="24" spans="1:15">
      <c r="A24" s="140" t="s">
        <v>17</v>
      </c>
      <c r="B24" s="204">
        <v>31</v>
      </c>
      <c r="C24" s="204">
        <v>0</v>
      </c>
      <c r="D24" s="204">
        <v>0</v>
      </c>
      <c r="E24" s="142">
        <f t="shared" si="0"/>
        <v>31</v>
      </c>
      <c r="F24" s="110">
        <v>0</v>
      </c>
      <c r="G24" s="142">
        <f t="shared" si="1"/>
        <v>3</v>
      </c>
      <c r="H24" s="110">
        <v>0</v>
      </c>
      <c r="I24" s="110">
        <v>0</v>
      </c>
      <c r="J24" s="142">
        <f t="shared" si="2"/>
        <v>0</v>
      </c>
      <c r="K24" s="110">
        <v>28</v>
      </c>
      <c r="L24" s="110">
        <v>0</v>
      </c>
      <c r="M24" s="142">
        <f t="shared" si="3"/>
        <v>28</v>
      </c>
      <c r="N24" s="140">
        <f t="shared" si="4"/>
        <v>3.3000000000000002E-2</v>
      </c>
      <c r="O24" s="17"/>
    </row>
    <row r="25" spans="1:15">
      <c r="A25" s="140" t="s">
        <v>18</v>
      </c>
      <c r="B25" s="204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8">
        <f>SUM(B16:B27)</f>
        <v>496</v>
      </c>
      <c r="C28" s="207">
        <f>SUM(C16:C27)</f>
        <v>0</v>
      </c>
      <c r="D28" s="207">
        <f>SUM(D16:D27)</f>
        <v>0</v>
      </c>
      <c r="E28" s="158">
        <f>SUM(E16:E27)</f>
        <v>496</v>
      </c>
      <c r="F28" s="158">
        <f>SUM(F16:F27)</f>
        <v>0</v>
      </c>
      <c r="G28" s="158">
        <f t="shared" si="1"/>
        <v>86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410</v>
      </c>
      <c r="L28" s="158">
        <f>SUM(L16:L27)</f>
        <v>0</v>
      </c>
      <c r="M28" s="158">
        <f>SUM(M16:M27)</f>
        <v>410</v>
      </c>
      <c r="N28" s="143">
        <f t="shared" si="4"/>
        <v>0.47699999999999998</v>
      </c>
      <c r="O28" s="17"/>
    </row>
    <row r="29" spans="1:15" ht="15.75" thickTop="1">
      <c r="A29" s="138" t="s">
        <v>22</v>
      </c>
      <c r="B29" s="139"/>
      <c r="C29" s="139"/>
      <c r="D29" s="139"/>
      <c r="E29" s="161">
        <f t="shared" ref="E29:M29" si="5">ROUND(+E28/$K$9,2)</f>
        <v>0.57999999999999996</v>
      </c>
      <c r="F29" s="161">
        <f t="shared" si="5"/>
        <v>0</v>
      </c>
      <c r="G29" s="161">
        <f t="shared" si="5"/>
        <v>0.1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0.48</v>
      </c>
      <c r="L29" s="161">
        <f t="shared" si="5"/>
        <v>0</v>
      </c>
      <c r="M29" s="161">
        <f t="shared" si="5"/>
        <v>0.48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0</v>
      </c>
      <c r="G30" s="145">
        <f t="shared" si="6"/>
        <v>17.338709677419356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82.661290322580655</v>
      </c>
      <c r="L30" s="145">
        <f t="shared" si="6"/>
        <v>0</v>
      </c>
      <c r="M30" s="145">
        <f t="shared" si="6"/>
        <v>82.661290322580655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showOutlineSymbols="0" topLeftCell="A4" zoomScale="87" zoomScaleNormal="87" workbookViewId="0">
      <selection activeCell="C40" sqref="C40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82</v>
      </c>
      <c r="C8" s="135"/>
      <c r="D8" s="135"/>
      <c r="E8" s="135"/>
      <c r="F8" s="135"/>
      <c r="G8" s="8" t="s">
        <v>56</v>
      </c>
      <c r="H8" s="135"/>
      <c r="I8" s="135" t="s">
        <v>84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6">
        <v>5764</v>
      </c>
      <c r="L9" s="137"/>
      <c r="M9" s="10" t="s">
        <v>77</v>
      </c>
      <c r="N9" s="105">
        <v>2020</v>
      </c>
    </row>
    <row r="10" spans="1:15" ht="18.75" thickBot="1">
      <c r="A10" s="10" t="s">
        <v>6</v>
      </c>
      <c r="B10" s="137" t="s">
        <v>83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141">
        <v>0</v>
      </c>
      <c r="E16" s="142">
        <f t="shared" ref="E16:E21" si="0">B16+C16-D16</f>
        <v>0</v>
      </c>
      <c r="F16" s="204">
        <v>0</v>
      </c>
      <c r="G16" s="142">
        <f t="shared" ref="G16:G28" si="1">E16-F16-H16-K16</f>
        <v>0</v>
      </c>
      <c r="H16" s="204">
        <v>0</v>
      </c>
      <c r="I16" s="204">
        <v>0</v>
      </c>
      <c r="J16" s="142">
        <f t="shared" ref="J16:J28" si="2">H16-I16-L16</f>
        <v>0</v>
      </c>
      <c r="K16" s="204">
        <v>0</v>
      </c>
      <c r="L16" s="204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141">
        <v>0</v>
      </c>
      <c r="E17" s="142">
        <f t="shared" si="0"/>
        <v>0</v>
      </c>
      <c r="F17" s="204">
        <v>0</v>
      </c>
      <c r="G17" s="142">
        <f t="shared" si="1"/>
        <v>0</v>
      </c>
      <c r="H17" s="204">
        <v>0</v>
      </c>
      <c r="I17" s="204">
        <v>0</v>
      </c>
      <c r="J17" s="142">
        <f t="shared" si="2"/>
        <v>0</v>
      </c>
      <c r="K17" s="204">
        <v>0</v>
      </c>
      <c r="L17" s="204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141">
        <v>0</v>
      </c>
      <c r="E18" s="142">
        <f t="shared" si="0"/>
        <v>0</v>
      </c>
      <c r="F18" s="204">
        <v>0</v>
      </c>
      <c r="G18" s="142">
        <f t="shared" si="1"/>
        <v>0</v>
      </c>
      <c r="H18" s="204">
        <v>0</v>
      </c>
      <c r="I18" s="204">
        <v>0</v>
      </c>
      <c r="J18" s="142">
        <f t="shared" si="2"/>
        <v>0</v>
      </c>
      <c r="K18" s="204">
        <v>0</v>
      </c>
      <c r="L18" s="204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141">
        <v>0</v>
      </c>
      <c r="E19" s="142">
        <f t="shared" si="0"/>
        <v>0</v>
      </c>
      <c r="F19" s="204">
        <v>0</v>
      </c>
      <c r="G19" s="142">
        <f t="shared" si="1"/>
        <v>0</v>
      </c>
      <c r="H19" s="204">
        <v>0</v>
      </c>
      <c r="I19" s="204">
        <v>0</v>
      </c>
      <c r="J19" s="142">
        <f t="shared" si="2"/>
        <v>0</v>
      </c>
      <c r="K19" s="204">
        <v>0</v>
      </c>
      <c r="L19" s="204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141">
        <v>0</v>
      </c>
      <c r="E20" s="142">
        <f t="shared" si="0"/>
        <v>0</v>
      </c>
      <c r="F20" s="204">
        <v>0</v>
      </c>
      <c r="G20" s="142">
        <f t="shared" si="1"/>
        <v>0</v>
      </c>
      <c r="H20" s="204">
        <v>0</v>
      </c>
      <c r="I20" s="204">
        <v>0</v>
      </c>
      <c r="J20" s="142">
        <f t="shared" si="2"/>
        <v>0</v>
      </c>
      <c r="K20" s="204">
        <v>0</v>
      </c>
      <c r="L20" s="204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0</v>
      </c>
      <c r="C21" s="204">
        <v>0</v>
      </c>
      <c r="D21" s="141">
        <v>0</v>
      </c>
      <c r="E21" s="142">
        <f t="shared" si="0"/>
        <v>0</v>
      </c>
      <c r="F21" s="204">
        <v>0</v>
      </c>
      <c r="G21" s="142">
        <f t="shared" si="1"/>
        <v>0</v>
      </c>
      <c r="H21" s="204">
        <v>0</v>
      </c>
      <c r="I21" s="204">
        <v>0</v>
      </c>
      <c r="J21" s="142">
        <f t="shared" si="2"/>
        <v>0</v>
      </c>
      <c r="K21" s="204">
        <v>0</v>
      </c>
      <c r="L21" s="204">
        <v>0</v>
      </c>
      <c r="M21" s="142">
        <f t="shared" si="3"/>
        <v>0</v>
      </c>
      <c r="N21" s="140">
        <f t="shared" si="4"/>
        <v>0</v>
      </c>
      <c r="O21" s="17"/>
    </row>
    <row r="22" spans="1:15">
      <c r="A22" s="140" t="s">
        <v>15</v>
      </c>
      <c r="B22" s="204">
        <v>1260</v>
      </c>
      <c r="C22" s="204">
        <v>265</v>
      </c>
      <c r="D22" s="141">
        <v>0</v>
      </c>
      <c r="E22" s="142">
        <f t="shared" ref="E22:E27" si="5">B22+C22-D22</f>
        <v>1525</v>
      </c>
      <c r="F22" s="204">
        <v>0</v>
      </c>
      <c r="G22" s="142">
        <f t="shared" si="1"/>
        <v>878</v>
      </c>
      <c r="H22" s="204">
        <v>248</v>
      </c>
      <c r="I22" s="204">
        <v>0</v>
      </c>
      <c r="J22" s="142">
        <f>H22-I22-L22</f>
        <v>114</v>
      </c>
      <c r="K22" s="204">
        <v>399</v>
      </c>
      <c r="L22" s="204">
        <v>134</v>
      </c>
      <c r="M22" s="142">
        <f t="shared" si="3"/>
        <v>533</v>
      </c>
      <c r="N22" s="140">
        <f t="shared" si="4"/>
        <v>9.1999999999999998E-2</v>
      </c>
      <c r="O22" s="17"/>
    </row>
    <row r="23" spans="1:15">
      <c r="A23" s="140" t="s">
        <v>16</v>
      </c>
      <c r="B23" s="204">
        <v>1286</v>
      </c>
      <c r="C23" s="204">
        <v>265</v>
      </c>
      <c r="D23" s="141">
        <v>0</v>
      </c>
      <c r="E23" s="142">
        <f t="shared" si="5"/>
        <v>1551</v>
      </c>
      <c r="F23" s="204">
        <v>0</v>
      </c>
      <c r="G23" s="142">
        <f t="shared" si="1"/>
        <v>876</v>
      </c>
      <c r="H23" s="204">
        <v>243</v>
      </c>
      <c r="I23" s="204">
        <v>0</v>
      </c>
      <c r="J23" s="142">
        <f t="shared" si="2"/>
        <v>99</v>
      </c>
      <c r="K23" s="204">
        <v>432</v>
      </c>
      <c r="L23" s="204">
        <v>144</v>
      </c>
      <c r="M23" s="142">
        <f t="shared" si="3"/>
        <v>576</v>
      </c>
      <c r="N23" s="140">
        <f t="shared" si="4"/>
        <v>0.1</v>
      </c>
      <c r="O23" s="17"/>
    </row>
    <row r="24" spans="1:15">
      <c r="A24" s="140" t="s">
        <v>17</v>
      </c>
      <c r="B24" s="204">
        <v>0</v>
      </c>
      <c r="C24" s="204">
        <v>0</v>
      </c>
      <c r="D24" s="141">
        <v>0</v>
      </c>
      <c r="E24" s="142">
        <f t="shared" si="5"/>
        <v>0</v>
      </c>
      <c r="F24" s="204">
        <v>0</v>
      </c>
      <c r="G24" s="142">
        <f t="shared" si="1"/>
        <v>0</v>
      </c>
      <c r="H24" s="204">
        <v>0</v>
      </c>
      <c r="I24" s="204">
        <v>0</v>
      </c>
      <c r="J24" s="142">
        <f t="shared" si="2"/>
        <v>0</v>
      </c>
      <c r="K24" s="204">
        <v>0</v>
      </c>
      <c r="L24" s="204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204">
        <v>0</v>
      </c>
      <c r="C25" s="204">
        <v>0</v>
      </c>
      <c r="D25" s="141">
        <v>0</v>
      </c>
      <c r="E25" s="142">
        <f t="shared" si="5"/>
        <v>0</v>
      </c>
      <c r="F25" s="204">
        <v>0</v>
      </c>
      <c r="G25" s="142">
        <f t="shared" si="1"/>
        <v>0</v>
      </c>
      <c r="H25" s="204">
        <v>0</v>
      </c>
      <c r="I25" s="204">
        <v>0</v>
      </c>
      <c r="J25" s="142">
        <f t="shared" si="2"/>
        <v>0</v>
      </c>
      <c r="K25" s="204">
        <v>0</v>
      </c>
      <c r="L25" s="204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141">
        <v>0</v>
      </c>
      <c r="E26" s="142">
        <f t="shared" si="5"/>
        <v>0</v>
      </c>
      <c r="F26" s="204">
        <v>0</v>
      </c>
      <c r="G26" s="142">
        <f t="shared" si="1"/>
        <v>0</v>
      </c>
      <c r="H26" s="204">
        <v>0</v>
      </c>
      <c r="I26" s="204">
        <v>0</v>
      </c>
      <c r="J26" s="142">
        <f t="shared" si="2"/>
        <v>0</v>
      </c>
      <c r="K26" s="204">
        <v>0</v>
      </c>
      <c r="L26" s="204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141">
        <v>0</v>
      </c>
      <c r="E27" s="142">
        <f t="shared" si="5"/>
        <v>0</v>
      </c>
      <c r="F27" s="204">
        <v>0</v>
      </c>
      <c r="G27" s="142">
        <f t="shared" si="1"/>
        <v>0</v>
      </c>
      <c r="H27" s="204">
        <v>0</v>
      </c>
      <c r="I27" s="204">
        <v>0</v>
      </c>
      <c r="J27" s="142">
        <f t="shared" si="2"/>
        <v>0</v>
      </c>
      <c r="K27" s="204">
        <v>0</v>
      </c>
      <c r="L27" s="204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9">
        <f>SUM(B16:B27)</f>
        <v>2546</v>
      </c>
      <c r="C28" s="209">
        <f>SUM(C16:C27)</f>
        <v>530</v>
      </c>
      <c r="D28" s="142">
        <f>SUM(D16:D27)</f>
        <v>0</v>
      </c>
      <c r="E28" s="142">
        <f>SUM(E16:E27)</f>
        <v>3076</v>
      </c>
      <c r="F28" s="218">
        <f>SUM(F16:F27)</f>
        <v>0</v>
      </c>
      <c r="G28" s="142">
        <f t="shared" si="1"/>
        <v>1754</v>
      </c>
      <c r="H28" s="209">
        <f>SUM(H16:H27)</f>
        <v>491</v>
      </c>
      <c r="I28" s="209">
        <f>SUM(I16:I27)</f>
        <v>0</v>
      </c>
      <c r="J28" s="142">
        <f t="shared" si="2"/>
        <v>213</v>
      </c>
      <c r="K28" s="209">
        <f>SUM(K16:K27)</f>
        <v>831</v>
      </c>
      <c r="L28" s="209">
        <f>SUM(L16:L27)</f>
        <v>278</v>
      </c>
      <c r="M28" s="142">
        <f>SUM(M16:M27)</f>
        <v>1109</v>
      </c>
      <c r="N28" s="143">
        <f t="shared" si="4"/>
        <v>0.192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6">ROUND(+E28/$K$9,2)</f>
        <v>0.53</v>
      </c>
      <c r="F29" s="144">
        <f t="shared" si="6"/>
        <v>0</v>
      </c>
      <c r="G29" s="144">
        <f t="shared" si="6"/>
        <v>0.3</v>
      </c>
      <c r="H29" s="144">
        <f t="shared" si="6"/>
        <v>0.09</v>
      </c>
      <c r="I29" s="144">
        <f t="shared" si="6"/>
        <v>0</v>
      </c>
      <c r="J29" s="144">
        <f t="shared" si="6"/>
        <v>0.04</v>
      </c>
      <c r="K29" s="144">
        <f t="shared" si="6"/>
        <v>0.14000000000000001</v>
      </c>
      <c r="L29" s="144">
        <f t="shared" si="6"/>
        <v>0.05</v>
      </c>
      <c r="M29" s="144">
        <f t="shared" si="6"/>
        <v>0.19</v>
      </c>
      <c r="N29" s="139"/>
      <c r="O29" s="17"/>
    </row>
    <row r="30" spans="1:15" ht="15.75" thickBot="1">
      <c r="A30" s="143" t="s">
        <v>23</v>
      </c>
      <c r="B30" s="143"/>
      <c r="C30" s="140"/>
      <c r="D30" s="140"/>
      <c r="E30" s="145">
        <f t="shared" ref="E30:L30" si="7">E28/$E$28*100</f>
        <v>100</v>
      </c>
      <c r="F30" s="145">
        <f t="shared" si="7"/>
        <v>0</v>
      </c>
      <c r="G30" s="145">
        <f t="shared" si="7"/>
        <v>57.022106631989601</v>
      </c>
      <c r="H30" s="145">
        <f t="shared" si="7"/>
        <v>15.962288686605982</v>
      </c>
      <c r="I30" s="145">
        <f t="shared" si="7"/>
        <v>0</v>
      </c>
      <c r="J30" s="145">
        <f t="shared" si="7"/>
        <v>6.9245773732119638</v>
      </c>
      <c r="K30" s="145">
        <f t="shared" si="7"/>
        <v>27.015604681404419</v>
      </c>
      <c r="L30" s="145">
        <f t="shared" si="7"/>
        <v>9.0377113133940181</v>
      </c>
      <c r="M30" s="145">
        <f>M28/$E$28*100</f>
        <v>36.053315994798439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0" t="s">
        <v>0</v>
      </c>
      <c r="B36" s="135"/>
      <c r="C36" s="135"/>
      <c r="D36" s="135"/>
      <c r="E36" s="135"/>
      <c r="F36" s="135"/>
      <c r="G36" s="135"/>
      <c r="H36" s="135"/>
      <c r="I36" s="43"/>
      <c r="J36" s="135"/>
      <c r="K36" s="135"/>
      <c r="L36" s="135"/>
      <c r="M36" s="135"/>
      <c r="N36" s="135"/>
      <c r="O36" s="7"/>
    </row>
    <row r="37" spans="1:15">
      <c r="A37" s="50" t="s">
        <v>0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7"/>
    </row>
    <row r="38" spans="1:15">
      <c r="A38" s="135"/>
      <c r="C38" s="135"/>
      <c r="D38" s="135"/>
      <c r="E38" s="147"/>
      <c r="F38" s="135"/>
      <c r="G38" s="135"/>
      <c r="H38" s="135"/>
      <c r="I38" s="135"/>
      <c r="J38" s="135"/>
      <c r="K38" s="135"/>
      <c r="L38" s="135"/>
      <c r="M38" s="135"/>
      <c r="N38" s="135"/>
      <c r="O38" s="7"/>
    </row>
    <row r="39" spans="1:1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5" ht="26.25">
      <c r="B40" s="206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S24" sqref="S24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77734375" style="1" customWidth="1"/>
    <col min="6" max="6" width="7.6640625" style="1" customWidth="1"/>
    <col min="7" max="7" width="9.5546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136</v>
      </c>
      <c r="C8" s="135"/>
      <c r="D8" s="135"/>
      <c r="E8" s="135"/>
      <c r="F8" s="135"/>
      <c r="G8" s="8" t="s">
        <v>56</v>
      </c>
      <c r="H8" s="135"/>
      <c r="I8" s="135" t="s">
        <v>138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8516</v>
      </c>
      <c r="L9" s="137" t="s">
        <v>0</v>
      </c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137</v>
      </c>
      <c r="C10" s="137"/>
      <c r="D10" s="137"/>
      <c r="E10" s="137"/>
      <c r="F10" s="137"/>
      <c r="G10" s="10" t="s">
        <v>58</v>
      </c>
      <c r="H10" s="137"/>
      <c r="I10" s="190" t="s">
        <v>0</v>
      </c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10">
        <v>0</v>
      </c>
      <c r="D16" s="110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10">
        <v>0</v>
      </c>
      <c r="D17" s="110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10">
        <v>0</v>
      </c>
      <c r="D18" s="110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10">
        <v>0</v>
      </c>
      <c r="D19" s="110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10">
        <v>0</v>
      </c>
      <c r="D20" s="110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2726</v>
      </c>
      <c r="C21" s="110">
        <v>0</v>
      </c>
      <c r="D21" s="110">
        <v>0</v>
      </c>
      <c r="E21" s="142">
        <f t="shared" si="0"/>
        <v>2726</v>
      </c>
      <c r="F21" s="110">
        <v>121</v>
      </c>
      <c r="G21" s="142">
        <f t="shared" si="1"/>
        <v>2020</v>
      </c>
      <c r="H21" s="110">
        <v>470</v>
      </c>
      <c r="I21" s="110">
        <v>53</v>
      </c>
      <c r="J21" s="142">
        <f t="shared" si="2"/>
        <v>230</v>
      </c>
      <c r="K21" s="110">
        <v>115</v>
      </c>
      <c r="L21" s="110">
        <v>187</v>
      </c>
      <c r="M21" s="142">
        <f t="shared" si="3"/>
        <v>302</v>
      </c>
      <c r="N21" s="140">
        <f t="shared" si="4"/>
        <v>3.5000000000000003E-2</v>
      </c>
      <c r="O21" s="17"/>
    </row>
    <row r="22" spans="1:15">
      <c r="A22" s="140" t="s">
        <v>15</v>
      </c>
      <c r="B22" s="110">
        <v>7400</v>
      </c>
      <c r="C22" s="110">
        <v>0</v>
      </c>
      <c r="D22" s="110">
        <v>0</v>
      </c>
      <c r="E22" s="142">
        <f t="shared" si="0"/>
        <v>7400</v>
      </c>
      <c r="F22" s="110">
        <v>445</v>
      </c>
      <c r="G22" s="142">
        <f t="shared" si="1"/>
        <v>3982</v>
      </c>
      <c r="H22" s="110">
        <v>2194</v>
      </c>
      <c r="I22" s="110">
        <v>240</v>
      </c>
      <c r="J22" s="142">
        <f t="shared" si="2"/>
        <v>443</v>
      </c>
      <c r="K22" s="110">
        <v>779</v>
      </c>
      <c r="L22" s="110">
        <v>1511</v>
      </c>
      <c r="M22" s="142">
        <f t="shared" si="3"/>
        <v>2290</v>
      </c>
      <c r="N22" s="140">
        <f t="shared" si="4"/>
        <v>0.26900000000000002</v>
      </c>
      <c r="O22" s="17"/>
    </row>
    <row r="23" spans="1:15">
      <c r="A23" s="140" t="s">
        <v>16</v>
      </c>
      <c r="B23" s="110">
        <v>7860</v>
      </c>
      <c r="C23" s="110">
        <v>0</v>
      </c>
      <c r="D23" s="110">
        <v>0</v>
      </c>
      <c r="E23" s="142">
        <f t="shared" si="0"/>
        <v>7860</v>
      </c>
      <c r="F23" s="110">
        <v>398</v>
      </c>
      <c r="G23" s="142">
        <f t="shared" si="1"/>
        <v>2759</v>
      </c>
      <c r="H23" s="110">
        <v>3485</v>
      </c>
      <c r="I23" s="110">
        <v>172</v>
      </c>
      <c r="J23" s="142">
        <f t="shared" si="2"/>
        <v>348</v>
      </c>
      <c r="K23" s="110">
        <v>1218</v>
      </c>
      <c r="L23" s="110">
        <v>2965</v>
      </c>
      <c r="M23" s="142">
        <f t="shared" si="3"/>
        <v>4183</v>
      </c>
      <c r="N23" s="140">
        <f t="shared" si="4"/>
        <v>0.49099999999999999</v>
      </c>
      <c r="O23" s="17"/>
    </row>
    <row r="24" spans="1:15">
      <c r="A24" s="140" t="s">
        <v>17</v>
      </c>
      <c r="B24" s="110">
        <v>0</v>
      </c>
      <c r="C24" s="110">
        <v>0</v>
      </c>
      <c r="D24" s="110">
        <v>0</v>
      </c>
      <c r="E24" s="142">
        <f t="shared" si="0"/>
        <v>0</v>
      </c>
      <c r="F24" s="110">
        <v>0</v>
      </c>
      <c r="G24" s="142">
        <f t="shared" si="1"/>
        <v>0</v>
      </c>
      <c r="H24" s="110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110">
        <v>0</v>
      </c>
      <c r="C25" s="110">
        <v>0</v>
      </c>
      <c r="D25" s="110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10">
        <v>0</v>
      </c>
      <c r="D26" s="110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10">
        <v>0</v>
      </c>
      <c r="D27" s="110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42">
        <f>SUM(B16:B27)</f>
        <v>17986</v>
      </c>
      <c r="C28" s="142">
        <f>SUM(C16:C27)</f>
        <v>0</v>
      </c>
      <c r="D28" s="142">
        <f>SUM(D16:D27)</f>
        <v>0</v>
      </c>
      <c r="E28" s="142">
        <f>SUM(E16:E27)</f>
        <v>17986</v>
      </c>
      <c r="F28" s="142">
        <f>SUM(F16:F27)</f>
        <v>964</v>
      </c>
      <c r="G28" s="142">
        <f t="shared" si="1"/>
        <v>8761</v>
      </c>
      <c r="H28" s="142">
        <f>SUM(H16:H27)</f>
        <v>6149</v>
      </c>
      <c r="I28" s="142">
        <f>SUM(I16:I27)</f>
        <v>465</v>
      </c>
      <c r="J28" s="142">
        <f t="shared" si="2"/>
        <v>1021</v>
      </c>
      <c r="K28" s="142">
        <f>SUM(K16:K27)</f>
        <v>2112</v>
      </c>
      <c r="L28" s="142">
        <f>SUM(L16:L27)</f>
        <v>4663</v>
      </c>
      <c r="M28" s="142">
        <f>SUM(M16:M27)</f>
        <v>6775</v>
      </c>
      <c r="N28" s="143">
        <f t="shared" si="4"/>
        <v>0.79600000000000004</v>
      </c>
      <c r="O28" s="17"/>
    </row>
    <row r="29" spans="1:15" ht="15.75" thickTop="1">
      <c r="A29" s="138" t="s">
        <v>22</v>
      </c>
      <c r="B29" s="144" t="s">
        <v>0</v>
      </c>
      <c r="C29" s="144" t="s">
        <v>0</v>
      </c>
      <c r="D29" s="144" t="s">
        <v>0</v>
      </c>
      <c r="E29" s="144">
        <f t="shared" ref="E29:M29" si="5">ROUND(+E28/$K$9,2)</f>
        <v>2.11</v>
      </c>
      <c r="F29" s="144">
        <f t="shared" si="5"/>
        <v>0.11</v>
      </c>
      <c r="G29" s="144">
        <f t="shared" si="5"/>
        <v>1.03</v>
      </c>
      <c r="H29" s="144">
        <f t="shared" si="5"/>
        <v>0.72</v>
      </c>
      <c r="I29" s="144">
        <f t="shared" si="5"/>
        <v>0.05</v>
      </c>
      <c r="J29" s="144">
        <f t="shared" si="5"/>
        <v>0.12</v>
      </c>
      <c r="K29" s="144">
        <f t="shared" si="5"/>
        <v>0.25</v>
      </c>
      <c r="L29" s="144">
        <f t="shared" si="5"/>
        <v>0.55000000000000004</v>
      </c>
      <c r="M29" s="144">
        <f t="shared" si="5"/>
        <v>0.8</v>
      </c>
      <c r="N29" s="139"/>
      <c r="O29" s="17"/>
    </row>
    <row r="30" spans="1:15" ht="15.75" thickBot="1">
      <c r="A30" s="140" t="s">
        <v>23</v>
      </c>
      <c r="B30" s="145" t="s">
        <v>0</v>
      </c>
      <c r="C30" s="145" t="s">
        <v>0</v>
      </c>
      <c r="D30" s="145" t="s">
        <v>0</v>
      </c>
      <c r="E30" s="145">
        <f t="shared" ref="E30:M30" si="6">E28/$E$28*100</f>
        <v>100</v>
      </c>
      <c r="F30" s="145">
        <f t="shared" si="6"/>
        <v>5.3597242299566323</v>
      </c>
      <c r="G30" s="145">
        <f t="shared" si="6"/>
        <v>48.710107861670188</v>
      </c>
      <c r="H30" s="145">
        <f t="shared" si="6"/>
        <v>34.187701545646618</v>
      </c>
      <c r="I30" s="145">
        <f t="shared" si="6"/>
        <v>2.5853441565662183</v>
      </c>
      <c r="J30" s="145">
        <f t="shared" si="6"/>
        <v>5.6766373846324925</v>
      </c>
      <c r="K30" s="145">
        <f t="shared" si="6"/>
        <v>11.742466362726566</v>
      </c>
      <c r="L30" s="145">
        <f t="shared" si="6"/>
        <v>25.925720004447903</v>
      </c>
      <c r="M30" s="145">
        <f t="shared" si="6"/>
        <v>37.668186367174464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M21" sqref="M21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175</v>
      </c>
      <c r="C8" s="74"/>
      <c r="D8" s="74"/>
      <c r="E8" s="74"/>
      <c r="F8" s="74"/>
      <c r="G8" s="82" t="s">
        <v>56</v>
      </c>
      <c r="H8" s="74"/>
      <c r="I8" s="74" t="s">
        <v>177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5677</v>
      </c>
      <c r="L9" s="84"/>
      <c r="M9" s="83" t="s">
        <v>77</v>
      </c>
      <c r="N9" s="122">
        <v>2020</v>
      </c>
    </row>
    <row r="10" spans="1:15" ht="18.75" thickBot="1">
      <c r="A10" s="83" t="s">
        <v>6</v>
      </c>
      <c r="B10" s="84" t="s">
        <v>176</v>
      </c>
      <c r="C10" s="84"/>
      <c r="D10" s="84"/>
      <c r="E10" s="84"/>
      <c r="F10" s="84"/>
      <c r="G10" s="83" t="s">
        <v>58</v>
      </c>
      <c r="H10" s="84"/>
      <c r="I10" s="191" t="s">
        <v>0</v>
      </c>
      <c r="J10" s="84"/>
      <c r="K10" s="84"/>
      <c r="L10" s="84"/>
      <c r="M10" s="84"/>
      <c r="N10" s="8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56">
        <f t="shared" ref="M16:M27" si="3">SUM(K16:L16)</f>
        <v>0</v>
      </c>
      <c r="N16" s="157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56">
        <f t="shared" si="3"/>
        <v>0</v>
      </c>
      <c r="N17" s="157">
        <f t="shared" si="4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56">
        <f t="shared" si="3"/>
        <v>0</v>
      </c>
      <c r="N18" s="157">
        <f t="shared" si="4"/>
        <v>0</v>
      </c>
      <c r="O18" s="17"/>
    </row>
    <row r="19" spans="1:15">
      <c r="A19" s="140" t="s">
        <v>12</v>
      </c>
      <c r="B19" s="110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204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56">
        <f t="shared" si="3"/>
        <v>0</v>
      </c>
      <c r="N19" s="157">
        <f t="shared" si="4"/>
        <v>0</v>
      </c>
      <c r="O19" s="17"/>
    </row>
    <row r="20" spans="1:15">
      <c r="A20" s="140" t="s">
        <v>13</v>
      </c>
      <c r="B20" s="110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204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56">
        <f t="shared" si="3"/>
        <v>0</v>
      </c>
      <c r="N20" s="157">
        <f t="shared" si="4"/>
        <v>0</v>
      </c>
      <c r="O20" s="17"/>
    </row>
    <row r="21" spans="1:15">
      <c r="A21" s="140" t="s">
        <v>14</v>
      </c>
      <c r="B21" s="110">
        <v>2379</v>
      </c>
      <c r="C21" s="204">
        <v>0</v>
      </c>
      <c r="D21" s="204">
        <v>0</v>
      </c>
      <c r="E21" s="142">
        <f t="shared" si="0"/>
        <v>2379</v>
      </c>
      <c r="F21" s="110">
        <v>111</v>
      </c>
      <c r="G21" s="142">
        <f t="shared" si="1"/>
        <v>2070</v>
      </c>
      <c r="H21" s="204">
        <v>180</v>
      </c>
      <c r="I21" s="110">
        <v>0</v>
      </c>
      <c r="J21" s="142">
        <f t="shared" si="2"/>
        <v>13</v>
      </c>
      <c r="K21" s="110">
        <v>18</v>
      </c>
      <c r="L21" s="110">
        <v>167</v>
      </c>
      <c r="M21" s="156">
        <f t="shared" si="3"/>
        <v>185</v>
      </c>
      <c r="N21" s="157">
        <f t="shared" si="4"/>
        <v>3.3000000000000002E-2</v>
      </c>
      <c r="O21" s="17"/>
    </row>
    <row r="22" spans="1:15">
      <c r="A22" s="140" t="s">
        <v>15</v>
      </c>
      <c r="B22" s="110">
        <v>3659</v>
      </c>
      <c r="C22" s="204">
        <v>0</v>
      </c>
      <c r="D22" s="204">
        <v>0</v>
      </c>
      <c r="E22" s="142">
        <f t="shared" si="0"/>
        <v>3659</v>
      </c>
      <c r="F22" s="110">
        <v>434</v>
      </c>
      <c r="G22" s="142">
        <f t="shared" si="1"/>
        <v>1488</v>
      </c>
      <c r="H22" s="204">
        <v>1421</v>
      </c>
      <c r="I22" s="110">
        <v>0</v>
      </c>
      <c r="J22" s="142">
        <f t="shared" si="2"/>
        <v>115</v>
      </c>
      <c r="K22" s="110">
        <v>316</v>
      </c>
      <c r="L22" s="110">
        <v>1306</v>
      </c>
      <c r="M22" s="156">
        <f t="shared" si="3"/>
        <v>1622</v>
      </c>
      <c r="N22" s="157">
        <f t="shared" si="4"/>
        <v>0.28599999999999998</v>
      </c>
      <c r="O22" s="17"/>
    </row>
    <row r="23" spans="1:15">
      <c r="A23" s="140" t="s">
        <v>16</v>
      </c>
      <c r="B23" s="110">
        <v>4620</v>
      </c>
      <c r="C23" s="204">
        <v>0</v>
      </c>
      <c r="D23" s="204">
        <v>0</v>
      </c>
      <c r="E23" s="142">
        <f t="shared" si="0"/>
        <v>4620</v>
      </c>
      <c r="F23" s="110">
        <v>293</v>
      </c>
      <c r="G23" s="142">
        <f t="shared" si="1"/>
        <v>1233</v>
      </c>
      <c r="H23" s="204">
        <v>2569</v>
      </c>
      <c r="I23" s="110">
        <v>0</v>
      </c>
      <c r="J23" s="142">
        <f t="shared" si="2"/>
        <v>183</v>
      </c>
      <c r="K23" s="110">
        <v>525</v>
      </c>
      <c r="L23" s="110">
        <v>2386</v>
      </c>
      <c r="M23" s="156">
        <f t="shared" si="3"/>
        <v>2911</v>
      </c>
      <c r="N23" s="157">
        <f t="shared" si="4"/>
        <v>0.51300000000000001</v>
      </c>
      <c r="O23" s="17"/>
    </row>
    <row r="24" spans="1:15">
      <c r="A24" s="140" t="s">
        <v>17</v>
      </c>
      <c r="B24" s="110">
        <v>0</v>
      </c>
      <c r="C24" s="204">
        <v>0</v>
      </c>
      <c r="D24" s="204">
        <v>0</v>
      </c>
      <c r="E24" s="142">
        <f t="shared" si="0"/>
        <v>0</v>
      </c>
      <c r="F24" s="110">
        <v>0</v>
      </c>
      <c r="G24" s="142">
        <f t="shared" si="1"/>
        <v>0</v>
      </c>
      <c r="H24" s="204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56">
        <f t="shared" si="3"/>
        <v>0</v>
      </c>
      <c r="N24" s="157">
        <f t="shared" si="4"/>
        <v>0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204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56">
        <f t="shared" si="3"/>
        <v>0</v>
      </c>
      <c r="N25" s="157">
        <f t="shared" si="4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204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56">
        <f t="shared" si="3"/>
        <v>0</v>
      </c>
      <c r="N26" s="157">
        <f t="shared" si="4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204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56">
        <f t="shared" si="3"/>
        <v>0</v>
      </c>
      <c r="N27" s="157">
        <f t="shared" si="4"/>
        <v>0</v>
      </c>
      <c r="O27" s="17"/>
    </row>
    <row r="28" spans="1:15" ht="15.75" thickBot="1">
      <c r="A28" s="140" t="s">
        <v>21</v>
      </c>
      <c r="B28" s="158">
        <f>SUM(B16:B27)</f>
        <v>10658</v>
      </c>
      <c r="C28" s="207">
        <f>SUM(C16:C27)</f>
        <v>0</v>
      </c>
      <c r="D28" s="207">
        <f>SUM(D16:D27)</f>
        <v>0</v>
      </c>
      <c r="E28" s="158">
        <f>SUM(E16:E27)</f>
        <v>10658</v>
      </c>
      <c r="F28" s="158">
        <f>SUM(F16:F27)</f>
        <v>838</v>
      </c>
      <c r="G28" s="158">
        <f t="shared" si="1"/>
        <v>4791</v>
      </c>
      <c r="H28" s="207">
        <f>SUM(H16:H27)</f>
        <v>4170</v>
      </c>
      <c r="I28" s="158">
        <f>SUM(I16:I27)</f>
        <v>0</v>
      </c>
      <c r="J28" s="158">
        <f t="shared" si="2"/>
        <v>311</v>
      </c>
      <c r="K28" s="158">
        <f>SUM(K16:K27)</f>
        <v>859</v>
      </c>
      <c r="L28" s="158">
        <f>SUM(L16:L27)</f>
        <v>3859</v>
      </c>
      <c r="M28" s="159">
        <f>SUM(M16:M27)</f>
        <v>4718</v>
      </c>
      <c r="N28" s="160">
        <f t="shared" si="4"/>
        <v>0.83099999999999996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5">ROUND(+E28/$K$9,2)</f>
        <v>1.88</v>
      </c>
      <c r="F29" s="161">
        <f t="shared" si="5"/>
        <v>0.15</v>
      </c>
      <c r="G29" s="161">
        <f t="shared" si="5"/>
        <v>0.84</v>
      </c>
      <c r="H29" s="161">
        <f t="shared" si="5"/>
        <v>0.73</v>
      </c>
      <c r="I29" s="161">
        <f t="shared" si="5"/>
        <v>0</v>
      </c>
      <c r="J29" s="161">
        <f t="shared" si="5"/>
        <v>0.05</v>
      </c>
      <c r="K29" s="161">
        <f t="shared" si="5"/>
        <v>0.15</v>
      </c>
      <c r="L29" s="161">
        <f t="shared" si="5"/>
        <v>0.68</v>
      </c>
      <c r="M29" s="162">
        <f t="shared" si="5"/>
        <v>0.83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6">E28/$E$28*100</f>
        <v>100</v>
      </c>
      <c r="F30" s="145">
        <f t="shared" si="6"/>
        <v>7.862638393694878</v>
      </c>
      <c r="G30" s="145">
        <f t="shared" si="6"/>
        <v>44.952148620754365</v>
      </c>
      <c r="H30" s="145">
        <f t="shared" si="6"/>
        <v>39.12553950084444</v>
      </c>
      <c r="I30" s="145">
        <f t="shared" si="6"/>
        <v>0</v>
      </c>
      <c r="J30" s="145">
        <f t="shared" si="6"/>
        <v>2.9179958716457124</v>
      </c>
      <c r="K30" s="145">
        <f t="shared" si="6"/>
        <v>8.0596734847063249</v>
      </c>
      <c r="L30" s="145">
        <f t="shared" si="6"/>
        <v>36.207543629198724</v>
      </c>
      <c r="M30" s="165">
        <f t="shared" si="6"/>
        <v>44.267217113905048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40" spans="1:15" ht="20.25">
      <c r="A40" s="202"/>
      <c r="B40" s="202"/>
      <c r="C40" s="202"/>
      <c r="D40" s="202"/>
      <c r="E40" s="202"/>
      <c r="F40" s="202"/>
      <c r="G40" s="202"/>
      <c r="H40" s="202"/>
      <c r="I40" s="202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33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141</v>
      </c>
      <c r="C8" s="2"/>
      <c r="D8" s="2"/>
      <c r="E8" s="2"/>
      <c r="F8" s="2"/>
      <c r="G8" s="8" t="s">
        <v>56</v>
      </c>
      <c r="H8" s="2"/>
      <c r="I8" s="2" t="s">
        <v>152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79">
        <v>16501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142</v>
      </c>
      <c r="C12" s="18" t="s">
        <v>142</v>
      </c>
      <c r="D12" s="18" t="s">
        <v>142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143</v>
      </c>
      <c r="C13" s="23" t="s">
        <v>143</v>
      </c>
      <c r="D13" s="23" t="s">
        <v>149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 t="s">
        <v>85</v>
      </c>
      <c r="O13" s="17"/>
    </row>
    <row r="14" spans="1:15">
      <c r="A14" s="23" t="s">
        <v>8</v>
      </c>
      <c r="B14" s="23" t="s">
        <v>144</v>
      </c>
      <c r="C14" s="23" t="s">
        <v>144</v>
      </c>
      <c r="D14" s="23" t="s">
        <v>150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145</v>
      </c>
      <c r="C15" s="23" t="s">
        <v>148</v>
      </c>
      <c r="D15" s="23" t="s">
        <v>151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30" t="s">
        <v>9</v>
      </c>
      <c r="B16" s="180">
        <v>0</v>
      </c>
      <c r="C16" s="180">
        <v>0</v>
      </c>
      <c r="D16" s="205">
        <f t="shared" ref="D16:D28" si="0">H16+K16</f>
        <v>0</v>
      </c>
      <c r="E16" s="32">
        <f t="shared" ref="E16:E27" si="1">B16+C16+D16</f>
        <v>0</v>
      </c>
      <c r="F16" s="110">
        <v>0</v>
      </c>
      <c r="G16" s="32">
        <f t="shared" ref="G16:G28" si="2">E16-F16-H16-K16</f>
        <v>0</v>
      </c>
      <c r="H16" s="110">
        <v>0</v>
      </c>
      <c r="I16" s="110">
        <v>0</v>
      </c>
      <c r="J16" s="32">
        <f t="shared" ref="J16:J28" si="3">H16-I16-L16</f>
        <v>0</v>
      </c>
      <c r="K16" s="110">
        <v>0</v>
      </c>
      <c r="L16" s="110">
        <v>0</v>
      </c>
      <c r="M16" s="32">
        <f t="shared" ref="M16:M27" si="4">SUM(K16:L16)</f>
        <v>0</v>
      </c>
      <c r="N16" s="30">
        <f t="shared" ref="N16:N27" si="5">ROUND(+M16/$K$9,3)</f>
        <v>0</v>
      </c>
      <c r="O16" s="17"/>
    </row>
    <row r="17" spans="1:15">
      <c r="A17" s="30" t="s">
        <v>10</v>
      </c>
      <c r="B17" s="180">
        <v>0</v>
      </c>
      <c r="C17" s="180">
        <v>0</v>
      </c>
      <c r="D17" s="205">
        <f t="shared" si="0"/>
        <v>0</v>
      </c>
      <c r="E17" s="32">
        <f t="shared" si="1"/>
        <v>0</v>
      </c>
      <c r="F17" s="110">
        <v>0</v>
      </c>
      <c r="G17" s="32">
        <f t="shared" si="2"/>
        <v>0</v>
      </c>
      <c r="H17" s="110">
        <v>0</v>
      </c>
      <c r="I17" s="110">
        <v>0</v>
      </c>
      <c r="J17" s="32">
        <f t="shared" si="3"/>
        <v>0</v>
      </c>
      <c r="K17" s="110">
        <v>0</v>
      </c>
      <c r="L17" s="110">
        <v>0</v>
      </c>
      <c r="M17" s="32">
        <f t="shared" si="4"/>
        <v>0</v>
      </c>
      <c r="N17" s="30">
        <f t="shared" si="5"/>
        <v>0</v>
      </c>
      <c r="O17" s="17"/>
    </row>
    <row r="18" spans="1:15">
      <c r="A18" s="30" t="s">
        <v>11</v>
      </c>
      <c r="B18" s="180">
        <v>0</v>
      </c>
      <c r="C18" s="180">
        <v>0</v>
      </c>
      <c r="D18" s="205">
        <f t="shared" si="0"/>
        <v>0</v>
      </c>
      <c r="E18" s="32">
        <f t="shared" si="1"/>
        <v>0</v>
      </c>
      <c r="F18" s="110">
        <v>0</v>
      </c>
      <c r="G18" s="32">
        <f t="shared" si="2"/>
        <v>0</v>
      </c>
      <c r="H18" s="110">
        <v>0</v>
      </c>
      <c r="I18" s="110">
        <v>0</v>
      </c>
      <c r="J18" s="32">
        <f t="shared" si="3"/>
        <v>0</v>
      </c>
      <c r="K18" s="110">
        <v>0</v>
      </c>
      <c r="L18" s="110">
        <v>0</v>
      </c>
      <c r="M18" s="32">
        <f t="shared" si="4"/>
        <v>0</v>
      </c>
      <c r="N18" s="30">
        <f t="shared" si="5"/>
        <v>0</v>
      </c>
      <c r="O18" s="17"/>
    </row>
    <row r="19" spans="1:15">
      <c r="A19" s="30" t="s">
        <v>12</v>
      </c>
      <c r="B19" s="180">
        <v>0</v>
      </c>
      <c r="C19" s="180">
        <v>0</v>
      </c>
      <c r="D19" s="205">
        <f t="shared" si="0"/>
        <v>0</v>
      </c>
      <c r="E19" s="32">
        <f t="shared" si="1"/>
        <v>0</v>
      </c>
      <c r="F19" s="110">
        <v>0</v>
      </c>
      <c r="G19" s="32">
        <f t="shared" si="2"/>
        <v>0</v>
      </c>
      <c r="H19" s="110">
        <v>0</v>
      </c>
      <c r="I19" s="110">
        <v>0</v>
      </c>
      <c r="J19" s="32">
        <f t="shared" si="3"/>
        <v>0</v>
      </c>
      <c r="K19" s="110">
        <v>0</v>
      </c>
      <c r="L19" s="110">
        <v>0</v>
      </c>
      <c r="M19" s="32">
        <f t="shared" si="4"/>
        <v>0</v>
      </c>
      <c r="N19" s="30">
        <f t="shared" si="5"/>
        <v>0</v>
      </c>
      <c r="O19" s="17"/>
    </row>
    <row r="20" spans="1:15">
      <c r="A20" s="30" t="s">
        <v>13</v>
      </c>
      <c r="B20" s="180">
        <v>0</v>
      </c>
      <c r="C20" s="180">
        <v>0</v>
      </c>
      <c r="D20" s="205">
        <f t="shared" si="0"/>
        <v>0</v>
      </c>
      <c r="E20" s="32">
        <f t="shared" si="1"/>
        <v>0</v>
      </c>
      <c r="F20" s="110">
        <v>0</v>
      </c>
      <c r="G20" s="32">
        <f t="shared" si="2"/>
        <v>0</v>
      </c>
      <c r="H20" s="110">
        <v>0</v>
      </c>
      <c r="I20" s="110">
        <v>0</v>
      </c>
      <c r="J20" s="32">
        <f t="shared" si="3"/>
        <v>0</v>
      </c>
      <c r="K20" s="110">
        <v>0</v>
      </c>
      <c r="L20" s="110">
        <v>0</v>
      </c>
      <c r="M20" s="32">
        <f t="shared" si="4"/>
        <v>0</v>
      </c>
      <c r="N20" s="30">
        <f t="shared" si="5"/>
        <v>0</v>
      </c>
      <c r="O20" s="17"/>
    </row>
    <row r="21" spans="1:15">
      <c r="A21" s="30" t="s">
        <v>14</v>
      </c>
      <c r="B21" s="180">
        <v>1310</v>
      </c>
      <c r="C21" s="180">
        <v>1337</v>
      </c>
      <c r="D21" s="205">
        <f>H21+K21</f>
        <v>2133</v>
      </c>
      <c r="E21" s="32">
        <f>B21+C21+D21</f>
        <v>4780</v>
      </c>
      <c r="F21" s="110">
        <v>0</v>
      </c>
      <c r="G21" s="32">
        <f t="shared" si="2"/>
        <v>2647</v>
      </c>
      <c r="H21" s="110">
        <v>1736</v>
      </c>
      <c r="I21" s="110">
        <v>256</v>
      </c>
      <c r="J21" s="32">
        <f t="shared" si="3"/>
        <v>1072</v>
      </c>
      <c r="K21" s="110">
        <v>397</v>
      </c>
      <c r="L21" s="110">
        <v>408</v>
      </c>
      <c r="M21" s="32">
        <f t="shared" si="4"/>
        <v>805</v>
      </c>
      <c r="N21" s="30">
        <f t="shared" si="5"/>
        <v>4.9000000000000002E-2</v>
      </c>
      <c r="O21" s="17"/>
    </row>
    <row r="22" spans="1:15">
      <c r="A22" s="30" t="s">
        <v>15</v>
      </c>
      <c r="B22" s="180">
        <v>725</v>
      </c>
      <c r="C22" s="180">
        <v>542</v>
      </c>
      <c r="D22" s="205">
        <f t="shared" si="0"/>
        <v>2665</v>
      </c>
      <c r="E22" s="32">
        <f t="shared" si="1"/>
        <v>3932</v>
      </c>
      <c r="F22" s="110">
        <v>0</v>
      </c>
      <c r="G22" s="32">
        <f t="shared" si="2"/>
        <v>1267</v>
      </c>
      <c r="H22" s="110">
        <v>2074</v>
      </c>
      <c r="I22" s="110">
        <v>422</v>
      </c>
      <c r="J22" s="32">
        <f t="shared" si="3"/>
        <v>933</v>
      </c>
      <c r="K22" s="110">
        <v>591</v>
      </c>
      <c r="L22" s="110">
        <v>719</v>
      </c>
      <c r="M22" s="32">
        <f t="shared" si="4"/>
        <v>1310</v>
      </c>
      <c r="N22" s="30">
        <f t="shared" si="5"/>
        <v>7.9000000000000001E-2</v>
      </c>
      <c r="O22" s="17"/>
    </row>
    <row r="23" spans="1:15">
      <c r="A23" s="30" t="s">
        <v>16</v>
      </c>
      <c r="B23" s="180">
        <v>1533</v>
      </c>
      <c r="C23" s="180">
        <v>1214</v>
      </c>
      <c r="D23" s="205">
        <f t="shared" si="0"/>
        <v>5036</v>
      </c>
      <c r="E23" s="32">
        <f t="shared" si="1"/>
        <v>7783</v>
      </c>
      <c r="F23" s="110">
        <v>0</v>
      </c>
      <c r="G23" s="32">
        <f t="shared" si="2"/>
        <v>2747</v>
      </c>
      <c r="H23" s="110">
        <v>3663</v>
      </c>
      <c r="I23" s="180">
        <v>600</v>
      </c>
      <c r="J23" s="32">
        <f t="shared" si="3"/>
        <v>709</v>
      </c>
      <c r="K23" s="110">
        <v>1373</v>
      </c>
      <c r="L23" s="110">
        <v>2354</v>
      </c>
      <c r="M23" s="32">
        <f t="shared" si="4"/>
        <v>3727</v>
      </c>
      <c r="N23" s="199">
        <f t="shared" si="5"/>
        <v>0.22600000000000001</v>
      </c>
      <c r="O23" s="17"/>
    </row>
    <row r="24" spans="1:15">
      <c r="A24" s="30" t="s">
        <v>17</v>
      </c>
      <c r="B24" s="183">
        <v>280</v>
      </c>
      <c r="C24" s="180">
        <v>187</v>
      </c>
      <c r="D24" s="205">
        <f t="shared" si="0"/>
        <v>1219</v>
      </c>
      <c r="E24" s="32">
        <f t="shared" si="1"/>
        <v>1686</v>
      </c>
      <c r="F24" s="110">
        <v>0</v>
      </c>
      <c r="G24" s="71">
        <f t="shared" si="2"/>
        <v>467</v>
      </c>
      <c r="H24" s="110">
        <v>888</v>
      </c>
      <c r="I24" s="180">
        <v>254</v>
      </c>
      <c r="J24" s="32">
        <f t="shared" si="3"/>
        <v>239</v>
      </c>
      <c r="K24" s="110">
        <v>331</v>
      </c>
      <c r="L24" s="110">
        <v>395</v>
      </c>
      <c r="M24" s="32">
        <f t="shared" si="4"/>
        <v>726</v>
      </c>
      <c r="N24" s="30">
        <f t="shared" si="5"/>
        <v>4.3999999999999997E-2</v>
      </c>
      <c r="O24" s="17"/>
    </row>
    <row r="25" spans="1:15">
      <c r="A25" s="30" t="s">
        <v>18</v>
      </c>
      <c r="B25" s="180">
        <v>0</v>
      </c>
      <c r="C25" s="180">
        <v>0</v>
      </c>
      <c r="D25" s="205">
        <f t="shared" si="0"/>
        <v>0</v>
      </c>
      <c r="E25" s="32">
        <f>B25+C25+D25</f>
        <v>0</v>
      </c>
      <c r="F25" s="110">
        <v>0</v>
      </c>
      <c r="G25" s="32">
        <f t="shared" si="2"/>
        <v>0</v>
      </c>
      <c r="H25" s="110">
        <v>0</v>
      </c>
      <c r="I25" s="110">
        <v>0</v>
      </c>
      <c r="J25" s="32">
        <f t="shared" si="3"/>
        <v>0</v>
      </c>
      <c r="K25" s="110">
        <v>0</v>
      </c>
      <c r="L25" s="110">
        <v>0</v>
      </c>
      <c r="M25" s="32">
        <f t="shared" si="4"/>
        <v>0</v>
      </c>
      <c r="N25" s="30">
        <f t="shared" si="5"/>
        <v>0</v>
      </c>
      <c r="O25" s="17"/>
    </row>
    <row r="26" spans="1:15">
      <c r="A26" s="30" t="s">
        <v>19</v>
      </c>
      <c r="B26" s="180">
        <v>0</v>
      </c>
      <c r="C26" s="180">
        <v>0</v>
      </c>
      <c r="D26" s="205">
        <f t="shared" si="0"/>
        <v>0</v>
      </c>
      <c r="E26" s="32">
        <f t="shared" si="1"/>
        <v>0</v>
      </c>
      <c r="F26" s="110">
        <v>0</v>
      </c>
      <c r="G26" s="32">
        <f t="shared" si="2"/>
        <v>0</v>
      </c>
      <c r="H26" s="110">
        <v>0</v>
      </c>
      <c r="I26" s="110">
        <v>0</v>
      </c>
      <c r="J26" s="32">
        <f t="shared" si="3"/>
        <v>0</v>
      </c>
      <c r="K26" s="110">
        <v>0</v>
      </c>
      <c r="L26" s="110">
        <v>0</v>
      </c>
      <c r="M26" s="32">
        <f t="shared" si="4"/>
        <v>0</v>
      </c>
      <c r="N26" s="30">
        <f t="shared" si="5"/>
        <v>0</v>
      </c>
      <c r="O26" s="17"/>
    </row>
    <row r="27" spans="1:15">
      <c r="A27" s="30" t="s">
        <v>20</v>
      </c>
      <c r="B27" s="180">
        <v>0</v>
      </c>
      <c r="C27" s="180">
        <v>0</v>
      </c>
      <c r="D27" s="205">
        <f t="shared" si="0"/>
        <v>0</v>
      </c>
      <c r="E27" s="32">
        <f t="shared" si="1"/>
        <v>0</v>
      </c>
      <c r="F27" s="110">
        <v>0</v>
      </c>
      <c r="G27" s="32">
        <f t="shared" si="2"/>
        <v>0</v>
      </c>
      <c r="H27" s="110">
        <v>0</v>
      </c>
      <c r="I27" s="110">
        <v>0</v>
      </c>
      <c r="J27" s="32">
        <f t="shared" si="3"/>
        <v>0</v>
      </c>
      <c r="K27" s="110">
        <v>0</v>
      </c>
      <c r="L27" s="110">
        <v>0</v>
      </c>
      <c r="M27" s="32">
        <f t="shared" si="4"/>
        <v>0</v>
      </c>
      <c r="N27" s="30">
        <f t="shared" si="5"/>
        <v>0</v>
      </c>
      <c r="O27" s="17"/>
    </row>
    <row r="28" spans="1:15" ht="15.75" thickBot="1">
      <c r="A28" s="30" t="s">
        <v>21</v>
      </c>
      <c r="B28" s="184">
        <f>SUM(B16:B27)</f>
        <v>3848</v>
      </c>
      <c r="C28" s="184">
        <f>SUM(C16:C27)</f>
        <v>3280</v>
      </c>
      <c r="D28" s="32">
        <f t="shared" si="0"/>
        <v>11053</v>
      </c>
      <c r="E28" s="32">
        <f>SUM(E16:E27)</f>
        <v>18181</v>
      </c>
      <c r="F28" s="32">
        <f>SUM(F16:F27)</f>
        <v>0</v>
      </c>
      <c r="G28" s="32">
        <f t="shared" si="2"/>
        <v>7128</v>
      </c>
      <c r="H28" s="32">
        <f>SUM(H16:H27)</f>
        <v>8361</v>
      </c>
      <c r="I28" s="32">
        <f>SUM(I16:I27)</f>
        <v>1532</v>
      </c>
      <c r="J28" s="124">
        <f t="shared" si="3"/>
        <v>2953</v>
      </c>
      <c r="K28" s="32">
        <f>SUM(K16:K27)</f>
        <v>2692</v>
      </c>
      <c r="L28" s="32">
        <f>SUM(L16:L27)</f>
        <v>3876</v>
      </c>
      <c r="M28" s="32">
        <f>SUM(M16:M27)</f>
        <v>6568</v>
      </c>
      <c r="N28" s="199">
        <f>SUM(N16:N27)</f>
        <v>0.39799999999999996</v>
      </c>
      <c r="O28" s="17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1.1000000000000001</v>
      </c>
      <c r="F29" s="72">
        <f t="shared" si="6"/>
        <v>0</v>
      </c>
      <c r="G29" s="72">
        <f t="shared" si="6"/>
        <v>0.43</v>
      </c>
      <c r="H29" s="72">
        <f t="shared" si="6"/>
        <v>0.51</v>
      </c>
      <c r="I29" s="72">
        <f t="shared" si="6"/>
        <v>0.09</v>
      </c>
      <c r="J29" s="72">
        <f t="shared" si="6"/>
        <v>0.18</v>
      </c>
      <c r="K29" s="36">
        <f t="shared" si="6"/>
        <v>0.16</v>
      </c>
      <c r="L29" s="36">
        <f t="shared" si="6"/>
        <v>0.23</v>
      </c>
      <c r="M29" s="36">
        <f t="shared" si="6"/>
        <v>0.4</v>
      </c>
      <c r="N29" s="72"/>
      <c r="O29" s="17"/>
    </row>
    <row r="30" spans="1:15">
      <c r="A30" s="30" t="s">
        <v>23</v>
      </c>
      <c r="B30" s="30"/>
      <c r="C30" s="30"/>
      <c r="D30" s="30"/>
      <c r="E30" s="71">
        <f t="shared" ref="E30:M30" si="7">E28/$E$28*100</f>
        <v>100</v>
      </c>
      <c r="F30" s="71">
        <f t="shared" si="7"/>
        <v>0</v>
      </c>
      <c r="G30" s="39">
        <f t="shared" si="7"/>
        <v>39.205764259391671</v>
      </c>
      <c r="H30" s="39">
        <f t="shared" si="7"/>
        <v>45.987569440624824</v>
      </c>
      <c r="I30" s="39">
        <f t="shared" si="7"/>
        <v>8.4263791870634179</v>
      </c>
      <c r="J30" s="39">
        <f t="shared" si="7"/>
        <v>16.242230900390517</v>
      </c>
      <c r="K30" s="39">
        <f t="shared" si="7"/>
        <v>14.806666299983497</v>
      </c>
      <c r="L30" s="39">
        <f t="shared" si="7"/>
        <v>21.318959353170893</v>
      </c>
      <c r="M30" s="39">
        <f t="shared" si="7"/>
        <v>36.125625653154394</v>
      </c>
      <c r="N30" s="30"/>
      <c r="O30" s="17"/>
    </row>
    <row r="31" spans="1:15">
      <c r="A31" s="19" t="s">
        <v>24</v>
      </c>
      <c r="B31" s="19" t="s">
        <v>146</v>
      </c>
      <c r="C31" s="73"/>
      <c r="D31" s="73"/>
      <c r="E31" s="73"/>
      <c r="F31" s="73"/>
      <c r="G31" s="73"/>
      <c r="H31" s="73"/>
      <c r="I31" s="19" t="s">
        <v>66</v>
      </c>
      <c r="J31" s="73"/>
      <c r="K31" s="73"/>
      <c r="L31" s="73"/>
      <c r="M31" s="73"/>
      <c r="N31" s="73"/>
    </row>
    <row r="32" spans="1:15">
      <c r="A32" s="24"/>
      <c r="B32" s="24" t="s">
        <v>147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2" t="s">
        <v>139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140</v>
      </c>
      <c r="B36" s="2"/>
      <c r="C36" s="2"/>
      <c r="D36" s="2"/>
      <c r="E36" s="74"/>
      <c r="F36" s="2"/>
      <c r="G36" s="2"/>
      <c r="H36" s="2"/>
      <c r="I36" s="75"/>
      <c r="J36" s="2"/>
      <c r="K36" s="2"/>
      <c r="L36" s="2"/>
      <c r="M36" s="2"/>
      <c r="N36" s="2"/>
    </row>
    <row r="37" spans="1:15">
      <c r="A37" s="76" t="s">
        <v>0</v>
      </c>
      <c r="B37" s="2"/>
      <c r="C37" s="2"/>
      <c r="D37" s="2"/>
      <c r="E37" s="74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77734375" style="78" customWidth="1"/>
    <col min="2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153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1">
        <v>26633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154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155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ROUND(SUM(K16:L16),0)</f>
        <v>0</v>
      </c>
      <c r="N16" s="71">
        <f t="shared" ref="N16:N27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5246</v>
      </c>
      <c r="C21" s="111">
        <v>0</v>
      </c>
      <c r="D21" s="111">
        <v>0</v>
      </c>
      <c r="E21" s="32">
        <f t="shared" si="0"/>
        <v>5246</v>
      </c>
      <c r="F21" s="111">
        <v>0</v>
      </c>
      <c r="G21" s="32">
        <f t="shared" si="1"/>
        <v>1261</v>
      </c>
      <c r="H21" s="111">
        <v>3928</v>
      </c>
      <c r="I21" s="111">
        <v>494</v>
      </c>
      <c r="J21" s="32">
        <f t="shared" si="2"/>
        <v>2045</v>
      </c>
      <c r="K21" s="111">
        <v>57</v>
      </c>
      <c r="L21" s="111">
        <v>1389</v>
      </c>
      <c r="M21" s="32">
        <f t="shared" si="3"/>
        <v>1446</v>
      </c>
      <c r="N21" s="71">
        <f t="shared" si="4"/>
        <v>5.3999999999999999E-2</v>
      </c>
      <c r="O21" s="85"/>
    </row>
    <row r="22" spans="1:15">
      <c r="A22" s="71" t="s">
        <v>15</v>
      </c>
      <c r="B22" s="111">
        <v>5060</v>
      </c>
      <c r="C22" s="111">
        <v>0</v>
      </c>
      <c r="D22" s="111">
        <v>0</v>
      </c>
      <c r="E22" s="32">
        <f t="shared" si="0"/>
        <v>5060</v>
      </c>
      <c r="F22" s="111">
        <v>0</v>
      </c>
      <c r="G22" s="32">
        <f t="shared" si="1"/>
        <v>698</v>
      </c>
      <c r="H22" s="111">
        <v>4298</v>
      </c>
      <c r="I22" s="111">
        <v>843</v>
      </c>
      <c r="J22" s="32">
        <f t="shared" si="2"/>
        <v>1988</v>
      </c>
      <c r="K22" s="111">
        <v>64</v>
      </c>
      <c r="L22" s="111">
        <v>1467</v>
      </c>
      <c r="M22" s="32">
        <f t="shared" si="3"/>
        <v>1531</v>
      </c>
      <c r="N22" s="71">
        <f t="shared" si="4"/>
        <v>5.7000000000000002E-2</v>
      </c>
      <c r="O22" s="85"/>
    </row>
    <row r="23" spans="1:15">
      <c r="A23" s="71" t="s">
        <v>16</v>
      </c>
      <c r="B23" s="111">
        <v>11010</v>
      </c>
      <c r="C23" s="111">
        <v>0</v>
      </c>
      <c r="D23" s="111">
        <v>0</v>
      </c>
      <c r="E23" s="32">
        <f t="shared" si="0"/>
        <v>11010</v>
      </c>
      <c r="F23" s="111">
        <v>0</v>
      </c>
      <c r="G23" s="32">
        <f t="shared" si="1"/>
        <v>419</v>
      </c>
      <c r="H23" s="111">
        <v>10442</v>
      </c>
      <c r="I23" s="111">
        <v>1062</v>
      </c>
      <c r="J23" s="32">
        <f t="shared" si="2"/>
        <v>1460</v>
      </c>
      <c r="K23" s="111">
        <v>149</v>
      </c>
      <c r="L23" s="111">
        <v>7920</v>
      </c>
      <c r="M23" s="32">
        <f t="shared" si="3"/>
        <v>8069</v>
      </c>
      <c r="N23" s="71">
        <f t="shared" si="4"/>
        <v>0.30299999999999999</v>
      </c>
      <c r="O23" s="85"/>
    </row>
    <row r="24" spans="1:15">
      <c r="A24" s="71" t="s">
        <v>17</v>
      </c>
      <c r="B24" s="111">
        <v>3170</v>
      </c>
      <c r="C24" s="111">
        <v>0</v>
      </c>
      <c r="D24" s="111">
        <v>0</v>
      </c>
      <c r="E24" s="32">
        <f t="shared" si="0"/>
        <v>3170</v>
      </c>
      <c r="F24" s="111">
        <v>0</v>
      </c>
      <c r="G24" s="32">
        <f t="shared" si="1"/>
        <v>273</v>
      </c>
      <c r="H24" s="111">
        <v>2872</v>
      </c>
      <c r="I24" s="111">
        <v>500</v>
      </c>
      <c r="J24" s="32">
        <f t="shared" si="2"/>
        <v>679</v>
      </c>
      <c r="K24" s="111">
        <v>25</v>
      </c>
      <c r="L24" s="111">
        <v>1693</v>
      </c>
      <c r="M24" s="32">
        <f t="shared" si="3"/>
        <v>1718</v>
      </c>
      <c r="N24" s="71">
        <f t="shared" si="4"/>
        <v>6.5000000000000002E-2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7">
        <f>SUM(B16:B27)</f>
        <v>24486</v>
      </c>
      <c r="C28" s="177">
        <f>SUM(C16:C27)</f>
        <v>0</v>
      </c>
      <c r="D28" s="177">
        <f>SUM(D16:D27)</f>
        <v>0</v>
      </c>
      <c r="E28" s="177">
        <f>SUM(E16:E27)</f>
        <v>24486</v>
      </c>
      <c r="F28" s="177">
        <f>SUM(F16:F27)</f>
        <v>0</v>
      </c>
      <c r="G28" s="177">
        <f t="shared" si="1"/>
        <v>2651</v>
      </c>
      <c r="H28" s="177">
        <f>SUM(H16:H27)</f>
        <v>21540</v>
      </c>
      <c r="I28" s="177">
        <f>SUM(I16:I27)</f>
        <v>2899</v>
      </c>
      <c r="J28" s="177">
        <f t="shared" si="2"/>
        <v>6172</v>
      </c>
      <c r="K28" s="177">
        <f>SUM(K16:K27)</f>
        <v>295</v>
      </c>
      <c r="L28" s="177">
        <f>SUM(L16:L27)</f>
        <v>12469</v>
      </c>
      <c r="M28" s="177">
        <f>ROUND(SUM(M16:M27),0)</f>
        <v>12764</v>
      </c>
      <c r="N28" s="201">
        <f>SUM(N16:N27)</f>
        <v>0.47899999999999998</v>
      </c>
      <c r="O28" s="85"/>
    </row>
    <row r="29" spans="1:15" ht="15.75" thickTop="1">
      <c r="A29" s="72" t="s">
        <v>22</v>
      </c>
      <c r="B29" s="88"/>
      <c r="C29" s="88"/>
      <c r="D29" s="88"/>
      <c r="E29" s="88">
        <f t="shared" ref="E29:M29" si="5">ROUND(+E28/$K$9,2)</f>
        <v>0.92</v>
      </c>
      <c r="F29" s="88">
        <f t="shared" si="5"/>
        <v>0</v>
      </c>
      <c r="G29" s="88">
        <f t="shared" si="5"/>
        <v>0.1</v>
      </c>
      <c r="H29" s="200">
        <f t="shared" si="5"/>
        <v>0.81</v>
      </c>
      <c r="I29" s="88">
        <f t="shared" si="5"/>
        <v>0.11</v>
      </c>
      <c r="J29" s="88">
        <f t="shared" si="5"/>
        <v>0.23</v>
      </c>
      <c r="K29" s="200">
        <f t="shared" si="5"/>
        <v>0.01</v>
      </c>
      <c r="L29" s="88">
        <f t="shared" si="5"/>
        <v>0.47</v>
      </c>
      <c r="M29" s="88">
        <f t="shared" si="5"/>
        <v>0.48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6">E28/$E$28*100</f>
        <v>100</v>
      </c>
      <c r="F30" s="71">
        <f t="shared" si="6"/>
        <v>0</v>
      </c>
      <c r="G30" s="39">
        <f t="shared" si="6"/>
        <v>10.826594788858939</v>
      </c>
      <c r="H30" s="39">
        <f t="shared" si="6"/>
        <v>87.968635138446459</v>
      </c>
      <c r="I30" s="39">
        <f t="shared" si="6"/>
        <v>11.839418443192027</v>
      </c>
      <c r="J30" s="39">
        <f t="shared" si="6"/>
        <v>25.206240300579925</v>
      </c>
      <c r="K30" s="39">
        <f t="shared" si="6"/>
        <v>1.2047700726946009</v>
      </c>
      <c r="L30" s="39">
        <f t="shared" si="6"/>
        <v>50.922976394674514</v>
      </c>
      <c r="M30" s="39">
        <f t="shared" si="6"/>
        <v>52.127746467369107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OutlineSymbols="0" zoomScale="87" zoomScaleNormal="87" workbookViewId="0">
      <selection activeCell="M38" sqref="M38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35" t="s">
        <v>185</v>
      </c>
      <c r="C8" s="2"/>
      <c r="D8" s="2"/>
      <c r="E8" s="135" t="s">
        <v>0</v>
      </c>
      <c r="F8" s="2"/>
      <c r="G8" s="8" t="s">
        <v>56</v>
      </c>
      <c r="H8" s="2"/>
      <c r="I8" s="2" t="s">
        <v>103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2" t="s">
        <v>0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102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23" spans="1:14" ht="23.25">
      <c r="A23" s="59"/>
      <c r="B23" s="59" t="s">
        <v>187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35" spans="1:15" ht="15.75">
      <c r="A35" s="4"/>
      <c r="B35" s="3"/>
      <c r="C35" s="3"/>
      <c r="D35" s="3"/>
      <c r="E35" s="3"/>
      <c r="F35" s="3"/>
      <c r="G35" s="3"/>
      <c r="H35" s="3"/>
      <c r="I35" s="24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4"/>
    </row>
    <row r="38" spans="1:15" ht="24" customHeight="1">
      <c r="E38" s="61"/>
    </row>
  </sheetData>
  <phoneticPr fontId="0" type="noConversion"/>
  <pageMargins left="0.5" right="0.5" top="0.5" bottom="0.5" header="0" footer="0"/>
  <pageSetup scale="90" orientation="landscape" r:id="rId1"/>
  <headerFooter alignWithMargins="0"/>
  <rowBreaks count="1" manualBreakCount="1">
    <brk id="3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77734375" style="78" customWidth="1"/>
    <col min="2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7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 t="s">
        <v>0</v>
      </c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156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f>'ks below'!K9+'ks abov'!K9</f>
        <v>43134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157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21</v>
      </c>
      <c r="C12" s="86" t="s">
        <v>29</v>
      </c>
      <c r="D12" s="86" t="s">
        <v>38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158</v>
      </c>
      <c r="C13" s="89" t="s">
        <v>30</v>
      </c>
      <c r="D13" s="89" t="s">
        <v>30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159</v>
      </c>
      <c r="C14" s="89" t="s">
        <v>155</v>
      </c>
      <c r="D14" s="89" t="s">
        <v>39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155</v>
      </c>
      <c r="C15" s="89" t="s">
        <v>161</v>
      </c>
      <c r="D15" s="89" t="s">
        <v>40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v>0</v>
      </c>
      <c r="C16" s="53">
        <f>'ks below'!B16</f>
        <v>0</v>
      </c>
      <c r="D16" s="53">
        <v>0</v>
      </c>
      <c r="E16" s="32">
        <f t="shared" ref="E16:E27" si="0">B16+C16+D16</f>
        <v>0</v>
      </c>
      <c r="F16" s="111">
        <v>0</v>
      </c>
      <c r="G16" s="32">
        <f>E16-F16-H16-K16</f>
        <v>0</v>
      </c>
      <c r="H16" s="53">
        <f>'ks abov'!H16+'ks below'!H16</f>
        <v>0</v>
      </c>
      <c r="I16" s="53">
        <f>'ks abov'!I16+'ks below'!I16</f>
        <v>0</v>
      </c>
      <c r="J16" s="32">
        <f>H16-I16-L16</f>
        <v>0</v>
      </c>
      <c r="K16" s="53">
        <f>'ks abov'!K16+'ks below'!K16</f>
        <v>0</v>
      </c>
      <c r="L16" s="53">
        <f>'ks abov'!L16+'ks below'!L16</f>
        <v>0</v>
      </c>
      <c r="M16" s="32">
        <f t="shared" ref="M16:M27" si="1">SUM(K16:L16)</f>
        <v>0</v>
      </c>
      <c r="N16" s="71">
        <f t="shared" ref="N16:N28" si="2">ROUND(+M16/$K$9,3)</f>
        <v>0</v>
      </c>
      <c r="O16" s="85"/>
    </row>
    <row r="17" spans="1:15">
      <c r="A17" s="71" t="s">
        <v>10</v>
      </c>
      <c r="B17" s="53">
        <v>0</v>
      </c>
      <c r="C17" s="53">
        <f>'ks below'!B17</f>
        <v>0</v>
      </c>
      <c r="D17" s="53">
        <v>0</v>
      </c>
      <c r="E17" s="32">
        <f t="shared" si="0"/>
        <v>0</v>
      </c>
      <c r="F17" s="111">
        <v>0</v>
      </c>
      <c r="G17" s="32">
        <f>E17-F17-H17-K17</f>
        <v>0</v>
      </c>
      <c r="H17" s="53">
        <f>'ks abov'!H17+'ks below'!H17</f>
        <v>0</v>
      </c>
      <c r="I17" s="53">
        <f>'ks abov'!I17+'ks below'!I17</f>
        <v>0</v>
      </c>
      <c r="J17" s="32">
        <f>H17-I17-L17</f>
        <v>0</v>
      </c>
      <c r="K17" s="53">
        <f>'ks abov'!K17+'ks below'!K17</f>
        <v>0</v>
      </c>
      <c r="L17" s="53">
        <f>'ks abov'!L17+'ks below'!L17</f>
        <v>0</v>
      </c>
      <c r="M17" s="32">
        <f t="shared" si="1"/>
        <v>0</v>
      </c>
      <c r="N17" s="71">
        <f t="shared" si="2"/>
        <v>0</v>
      </c>
      <c r="O17" s="85"/>
    </row>
    <row r="18" spans="1:15">
      <c r="A18" s="71" t="s">
        <v>11</v>
      </c>
      <c r="B18" s="53">
        <v>0</v>
      </c>
      <c r="C18" s="53">
        <f>'ks below'!B18</f>
        <v>0</v>
      </c>
      <c r="D18" s="53">
        <v>0</v>
      </c>
      <c r="E18" s="32">
        <f t="shared" si="0"/>
        <v>0</v>
      </c>
      <c r="F18" s="111">
        <v>0</v>
      </c>
      <c r="G18" s="32">
        <f>E18-F18-H18-K18</f>
        <v>0</v>
      </c>
      <c r="H18" s="53">
        <f>'ks abov'!H18+'ks below'!H18</f>
        <v>0</v>
      </c>
      <c r="I18" s="53">
        <f>'ks abov'!I18+'ks below'!I18</f>
        <v>0</v>
      </c>
      <c r="J18" s="32">
        <f>H18-I18-L18</f>
        <v>0</v>
      </c>
      <c r="K18" s="53">
        <f>'ks abov'!K18+'ks below'!K18</f>
        <v>0</v>
      </c>
      <c r="L18" s="53">
        <f>'ks abov'!L18+'ks below'!L18</f>
        <v>0</v>
      </c>
      <c r="M18" s="32">
        <f t="shared" si="1"/>
        <v>0</v>
      </c>
      <c r="N18" s="71">
        <f t="shared" si="2"/>
        <v>0</v>
      </c>
      <c r="O18" s="85"/>
    </row>
    <row r="19" spans="1:15">
      <c r="A19" s="71" t="s">
        <v>12</v>
      </c>
      <c r="B19" s="53">
        <f>'ks abov'!E19</f>
        <v>0</v>
      </c>
      <c r="C19" s="53">
        <f>'ks below'!B19</f>
        <v>0</v>
      </c>
      <c r="D19" s="53">
        <v>0</v>
      </c>
      <c r="E19" s="32">
        <f t="shared" si="0"/>
        <v>0</v>
      </c>
      <c r="F19" s="111">
        <v>0</v>
      </c>
      <c r="G19" s="32">
        <f>E19-F19-H19-K19</f>
        <v>0</v>
      </c>
      <c r="H19" s="53">
        <f>'ks abov'!H19+'ks below'!H19</f>
        <v>0</v>
      </c>
      <c r="I19" s="53">
        <f>'ks abov'!I19+'ks below'!I19</f>
        <v>0</v>
      </c>
      <c r="J19" s="32">
        <f>H19-I19-I15</f>
        <v>0</v>
      </c>
      <c r="K19" s="53">
        <f>'ks abov'!K19+'ks below'!K19</f>
        <v>0</v>
      </c>
      <c r="L19" s="53">
        <f>'ks abov'!L19+'ks below'!L19</f>
        <v>0</v>
      </c>
      <c r="M19" s="32">
        <f t="shared" si="1"/>
        <v>0</v>
      </c>
      <c r="N19" s="71">
        <f t="shared" si="2"/>
        <v>0</v>
      </c>
      <c r="O19" s="85"/>
    </row>
    <row r="20" spans="1:15">
      <c r="A20" s="71" t="s">
        <v>13</v>
      </c>
      <c r="B20" s="53">
        <f>'ks abov'!E20</f>
        <v>0</v>
      </c>
      <c r="C20" s="53">
        <f>'ks below'!B20</f>
        <v>0</v>
      </c>
      <c r="D20" s="53">
        <v>0</v>
      </c>
      <c r="E20" s="32">
        <f t="shared" si="0"/>
        <v>0</v>
      </c>
      <c r="F20" s="111">
        <v>0</v>
      </c>
      <c r="G20" s="32">
        <f t="shared" ref="G20:G27" si="3">E20-F20-H20-K20</f>
        <v>0</v>
      </c>
      <c r="H20" s="53">
        <f>'ks abov'!H20+'ks below'!H20</f>
        <v>0</v>
      </c>
      <c r="I20" s="53">
        <f>'ks abov'!I20+'ks below'!I20</f>
        <v>0</v>
      </c>
      <c r="J20" s="32">
        <f t="shared" ref="J20:J28" si="4">H20-I20-L20</f>
        <v>0</v>
      </c>
      <c r="K20" s="53">
        <f>'ks abov'!K20+'ks below'!K20</f>
        <v>0</v>
      </c>
      <c r="L20" s="53">
        <f>'ks abov'!L20+'ks below'!L20</f>
        <v>0</v>
      </c>
      <c r="M20" s="32">
        <f t="shared" si="1"/>
        <v>0</v>
      </c>
      <c r="N20" s="71">
        <f t="shared" si="2"/>
        <v>0</v>
      </c>
      <c r="O20" s="85"/>
    </row>
    <row r="21" spans="1:15">
      <c r="A21" s="71" t="s">
        <v>14</v>
      </c>
      <c r="B21" s="53">
        <f>'ks abov'!E21</f>
        <v>4780</v>
      </c>
      <c r="C21" s="53">
        <f>'ks below'!B21</f>
        <v>5246</v>
      </c>
      <c r="D21" s="53">
        <v>0</v>
      </c>
      <c r="E21" s="32">
        <f t="shared" si="0"/>
        <v>10026</v>
      </c>
      <c r="F21" s="111">
        <v>0</v>
      </c>
      <c r="G21" s="32">
        <f t="shared" si="3"/>
        <v>3908</v>
      </c>
      <c r="H21" s="53">
        <f>'ks abov'!H21+'ks below'!H21</f>
        <v>5664</v>
      </c>
      <c r="I21" s="53">
        <f>'ks abov'!I21+'ks below'!I21</f>
        <v>750</v>
      </c>
      <c r="J21" s="32">
        <f t="shared" si="4"/>
        <v>3117</v>
      </c>
      <c r="K21" s="53">
        <f>'ks abov'!K21+'ks below'!K21</f>
        <v>454</v>
      </c>
      <c r="L21" s="53">
        <f>'ks abov'!L21+'ks below'!L21</f>
        <v>1797</v>
      </c>
      <c r="M21" s="32">
        <f t="shared" si="1"/>
        <v>2251</v>
      </c>
      <c r="N21" s="71">
        <f t="shared" si="2"/>
        <v>5.1999999999999998E-2</v>
      </c>
      <c r="O21" s="85"/>
    </row>
    <row r="22" spans="1:15">
      <c r="A22" s="71" t="s">
        <v>15</v>
      </c>
      <c r="B22" s="53">
        <f>'ks abov'!E22</f>
        <v>3932</v>
      </c>
      <c r="C22" s="53">
        <f>'ks below'!B22</f>
        <v>5060</v>
      </c>
      <c r="D22" s="53">
        <v>0</v>
      </c>
      <c r="E22" s="32">
        <f t="shared" si="0"/>
        <v>8992</v>
      </c>
      <c r="F22" s="111">
        <v>0</v>
      </c>
      <c r="G22" s="32">
        <f t="shared" si="3"/>
        <v>1965</v>
      </c>
      <c r="H22" s="53">
        <f>'ks abov'!H22+'ks below'!H22</f>
        <v>6372</v>
      </c>
      <c r="I22" s="53">
        <f>'ks abov'!I22+'ks below'!I22</f>
        <v>1265</v>
      </c>
      <c r="J22" s="32">
        <f t="shared" si="4"/>
        <v>2921</v>
      </c>
      <c r="K22" s="53">
        <f>'ks abov'!K22+'ks below'!K22</f>
        <v>655</v>
      </c>
      <c r="L22" s="53">
        <f>'ks abov'!L22+'ks below'!L22</f>
        <v>2186</v>
      </c>
      <c r="M22" s="32">
        <f t="shared" si="1"/>
        <v>2841</v>
      </c>
      <c r="N22" s="71">
        <f t="shared" si="2"/>
        <v>6.6000000000000003E-2</v>
      </c>
      <c r="O22" s="85"/>
    </row>
    <row r="23" spans="1:15">
      <c r="A23" s="71" t="s">
        <v>16</v>
      </c>
      <c r="B23" s="53">
        <f>'ks abov'!E23</f>
        <v>7783</v>
      </c>
      <c r="C23" s="53">
        <f>'ks below'!B23</f>
        <v>11010</v>
      </c>
      <c r="D23" s="53">
        <v>0</v>
      </c>
      <c r="E23" s="32">
        <f t="shared" si="0"/>
        <v>18793</v>
      </c>
      <c r="F23" s="111">
        <v>0</v>
      </c>
      <c r="G23" s="32">
        <f t="shared" si="3"/>
        <v>3166</v>
      </c>
      <c r="H23" s="53">
        <f>'ks abov'!H23+'ks below'!H23</f>
        <v>14105</v>
      </c>
      <c r="I23" s="53">
        <f>'ks abov'!I23+'ks below'!I23</f>
        <v>1662</v>
      </c>
      <c r="J23" s="32">
        <f t="shared" si="4"/>
        <v>2169</v>
      </c>
      <c r="K23" s="53">
        <f>'ks abov'!K23+'ks below'!K23</f>
        <v>1522</v>
      </c>
      <c r="L23" s="53">
        <f>'ks abov'!L23+'ks below'!L23</f>
        <v>10274</v>
      </c>
      <c r="M23" s="32">
        <f t="shared" si="1"/>
        <v>11796</v>
      </c>
      <c r="N23" s="71">
        <f t="shared" si="2"/>
        <v>0.27300000000000002</v>
      </c>
      <c r="O23" s="85"/>
    </row>
    <row r="24" spans="1:15">
      <c r="A24" s="71" t="s">
        <v>17</v>
      </c>
      <c r="B24" s="53">
        <f>'ks abov'!E24</f>
        <v>1686</v>
      </c>
      <c r="C24" s="53">
        <f>'ks below'!B24</f>
        <v>3170</v>
      </c>
      <c r="D24" s="53">
        <v>0</v>
      </c>
      <c r="E24" s="32">
        <f t="shared" si="0"/>
        <v>4856</v>
      </c>
      <c r="F24" s="111">
        <v>0</v>
      </c>
      <c r="G24" s="32">
        <f t="shared" si="3"/>
        <v>740</v>
      </c>
      <c r="H24" s="53">
        <f>'ks abov'!H24+'ks below'!H24</f>
        <v>3760</v>
      </c>
      <c r="I24" s="53">
        <f>'ks abov'!I24+'ks below'!I24</f>
        <v>754</v>
      </c>
      <c r="J24" s="32">
        <f t="shared" si="4"/>
        <v>918</v>
      </c>
      <c r="K24" s="53">
        <f>'ks abov'!K24+'ks below'!K24</f>
        <v>356</v>
      </c>
      <c r="L24" s="53">
        <f>'ks abov'!L24+'ks below'!L24</f>
        <v>2088</v>
      </c>
      <c r="M24" s="32">
        <f t="shared" si="1"/>
        <v>2444</v>
      </c>
      <c r="N24" s="71">
        <f t="shared" si="2"/>
        <v>5.7000000000000002E-2</v>
      </c>
      <c r="O24" s="85"/>
    </row>
    <row r="25" spans="1:15">
      <c r="A25" s="71" t="s">
        <v>18</v>
      </c>
      <c r="B25" s="53">
        <f>'ks abov'!E25</f>
        <v>0</v>
      </c>
      <c r="C25" s="53">
        <f>'ks below'!B25</f>
        <v>0</v>
      </c>
      <c r="D25" s="53">
        <v>0</v>
      </c>
      <c r="E25" s="32">
        <f t="shared" si="0"/>
        <v>0</v>
      </c>
      <c r="F25" s="111">
        <v>0</v>
      </c>
      <c r="G25" s="32">
        <f t="shared" si="3"/>
        <v>0</v>
      </c>
      <c r="H25" s="53">
        <f>'ks abov'!H25+'ks below'!H25</f>
        <v>0</v>
      </c>
      <c r="I25" s="53">
        <f>'ks abov'!I25+'ks below'!I25</f>
        <v>0</v>
      </c>
      <c r="J25" s="32">
        <f t="shared" si="4"/>
        <v>0</v>
      </c>
      <c r="K25" s="53">
        <f>'ks abov'!K25+'ks below'!K25</f>
        <v>0</v>
      </c>
      <c r="L25" s="53">
        <f>'ks abov'!L25+'ks below'!L25</f>
        <v>0</v>
      </c>
      <c r="M25" s="32">
        <f t="shared" si="1"/>
        <v>0</v>
      </c>
      <c r="N25" s="71">
        <f t="shared" si="2"/>
        <v>0</v>
      </c>
      <c r="O25" s="85"/>
    </row>
    <row r="26" spans="1:15">
      <c r="A26" s="71" t="s">
        <v>19</v>
      </c>
      <c r="B26" s="53">
        <f>'ks abov'!E26</f>
        <v>0</v>
      </c>
      <c r="C26" s="53">
        <f>'ks below'!B26</f>
        <v>0</v>
      </c>
      <c r="D26" s="53">
        <v>0</v>
      </c>
      <c r="E26" s="32">
        <f t="shared" si="0"/>
        <v>0</v>
      </c>
      <c r="F26" s="111">
        <v>0</v>
      </c>
      <c r="G26" s="32">
        <f t="shared" si="3"/>
        <v>0</v>
      </c>
      <c r="H26" s="53">
        <f>'ks abov'!H26+'ks below'!H26</f>
        <v>0</v>
      </c>
      <c r="I26" s="53">
        <f>'ks abov'!I26+'ks below'!I26</f>
        <v>0</v>
      </c>
      <c r="J26" s="32">
        <f t="shared" si="4"/>
        <v>0</v>
      </c>
      <c r="K26" s="53">
        <f>'ks abov'!K26+'ks below'!K26</f>
        <v>0</v>
      </c>
      <c r="L26" s="53">
        <f>'ks abov'!L26+'ks below'!L26</f>
        <v>0</v>
      </c>
      <c r="M26" s="32">
        <f t="shared" si="1"/>
        <v>0</v>
      </c>
      <c r="N26" s="71">
        <f t="shared" si="2"/>
        <v>0</v>
      </c>
      <c r="O26" s="85"/>
    </row>
    <row r="27" spans="1:15">
      <c r="A27" s="71" t="s">
        <v>20</v>
      </c>
      <c r="B27" s="53">
        <f>'ks abov'!E27</f>
        <v>0</v>
      </c>
      <c r="C27" s="53">
        <f>'ks below'!B27</f>
        <v>0</v>
      </c>
      <c r="D27" s="53">
        <v>0</v>
      </c>
      <c r="E27" s="32">
        <f t="shared" si="0"/>
        <v>0</v>
      </c>
      <c r="F27" s="111">
        <v>0</v>
      </c>
      <c r="G27" s="32">
        <f t="shared" si="3"/>
        <v>0</v>
      </c>
      <c r="H27" s="53">
        <f>'ks abov'!H27+'ks below'!H27</f>
        <v>0</v>
      </c>
      <c r="I27" s="53">
        <f>'ks abov'!I27+'ks below'!I27</f>
        <v>0</v>
      </c>
      <c r="J27" s="32">
        <f t="shared" si="4"/>
        <v>0</v>
      </c>
      <c r="K27" s="53">
        <f>'ks abov'!K27+'ks below'!K27</f>
        <v>0</v>
      </c>
      <c r="L27" s="53">
        <f>'ks abov'!L27+'ks below'!L27</f>
        <v>0</v>
      </c>
      <c r="M27" s="32">
        <f t="shared" si="1"/>
        <v>0</v>
      </c>
      <c r="N27" s="71">
        <f t="shared" si="2"/>
        <v>0</v>
      </c>
      <c r="O27" s="85"/>
    </row>
    <row r="28" spans="1:15" ht="15.75" thickBot="1">
      <c r="A28" s="71" t="s">
        <v>21</v>
      </c>
      <c r="B28" s="32">
        <f t="shared" ref="B28:I28" si="5">SUM(B16:B27)</f>
        <v>18181</v>
      </c>
      <c r="C28" s="32">
        <f t="shared" si="5"/>
        <v>24486</v>
      </c>
      <c r="D28" s="32">
        <f t="shared" si="5"/>
        <v>0</v>
      </c>
      <c r="E28" s="32">
        <f t="shared" si="5"/>
        <v>42667</v>
      </c>
      <c r="F28" s="32">
        <f t="shared" si="5"/>
        <v>0</v>
      </c>
      <c r="G28" s="32">
        <f t="shared" si="5"/>
        <v>9779</v>
      </c>
      <c r="H28" s="32">
        <f t="shared" si="5"/>
        <v>29901</v>
      </c>
      <c r="I28" s="32">
        <f t="shared" si="5"/>
        <v>4431</v>
      </c>
      <c r="J28" s="32">
        <f t="shared" si="4"/>
        <v>9125</v>
      </c>
      <c r="K28" s="32">
        <f>SUM(K16:K27)</f>
        <v>2987</v>
      </c>
      <c r="L28" s="32">
        <f>SUM(L16:L27)</f>
        <v>16345</v>
      </c>
      <c r="M28" s="32">
        <f>SUM(M16:M27)</f>
        <v>19332</v>
      </c>
      <c r="N28" s="113">
        <f t="shared" si="2"/>
        <v>0.44800000000000001</v>
      </c>
      <c r="O28" s="85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0.99</v>
      </c>
      <c r="F29" s="72">
        <f t="shared" si="6"/>
        <v>0</v>
      </c>
      <c r="G29" s="72">
        <f t="shared" si="6"/>
        <v>0.23</v>
      </c>
      <c r="H29" s="36">
        <f t="shared" si="6"/>
        <v>0.69</v>
      </c>
      <c r="I29" s="72">
        <f t="shared" si="6"/>
        <v>0.1</v>
      </c>
      <c r="J29" s="72">
        <f t="shared" si="6"/>
        <v>0.21</v>
      </c>
      <c r="K29" s="72">
        <f t="shared" si="6"/>
        <v>7.0000000000000007E-2</v>
      </c>
      <c r="L29" s="72">
        <f t="shared" si="6"/>
        <v>0.38</v>
      </c>
      <c r="M29" s="72">
        <f t="shared" si="6"/>
        <v>0.45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7">ROUND(+E28/$E$28*100,1)</f>
        <v>100</v>
      </c>
      <c r="F30" s="71">
        <f t="shared" si="7"/>
        <v>0</v>
      </c>
      <c r="G30" s="71">
        <f t="shared" si="7"/>
        <v>22.9</v>
      </c>
      <c r="H30" s="71">
        <f t="shared" si="7"/>
        <v>70.099999999999994</v>
      </c>
      <c r="I30" s="71">
        <f t="shared" si="7"/>
        <v>10.4</v>
      </c>
      <c r="J30" s="71">
        <f t="shared" si="7"/>
        <v>21.4</v>
      </c>
      <c r="K30" s="71">
        <f t="shared" si="7"/>
        <v>7</v>
      </c>
      <c r="L30" s="71">
        <f t="shared" si="7"/>
        <v>38.299999999999997</v>
      </c>
      <c r="M30" s="71">
        <f t="shared" si="7"/>
        <v>45.3</v>
      </c>
      <c r="N30" s="71"/>
      <c r="O30" s="85"/>
    </row>
    <row r="31" spans="1:15">
      <c r="A31" s="87" t="s">
        <v>24</v>
      </c>
      <c r="B31" s="87" t="s">
        <v>160</v>
      </c>
      <c r="C31" s="73"/>
      <c r="D31" s="73"/>
      <c r="E31" s="73"/>
      <c r="F31" s="73"/>
      <c r="G31" s="73"/>
      <c r="H31" s="73"/>
      <c r="I31" s="87" t="s">
        <v>66</v>
      </c>
      <c r="J31" s="73"/>
      <c r="K31" s="73"/>
      <c r="L31" s="73"/>
      <c r="M31" s="73"/>
      <c r="N31" s="73"/>
    </row>
    <row r="32" spans="1:15">
      <c r="A32" s="75"/>
      <c r="B32" s="75" t="s">
        <v>147</v>
      </c>
      <c r="C32" s="74"/>
      <c r="D32" s="74"/>
      <c r="E32" s="74"/>
      <c r="F32" s="74"/>
      <c r="G32" s="74"/>
      <c r="H32" s="74"/>
      <c r="I32" s="75" t="s">
        <v>67</v>
      </c>
      <c r="J32" s="74"/>
      <c r="K32" s="74"/>
      <c r="L32" s="74"/>
      <c r="M32" s="74"/>
      <c r="N32" s="74"/>
    </row>
    <row r="33" spans="1:15">
      <c r="A33" s="75"/>
      <c r="B33" s="75" t="s">
        <v>35</v>
      </c>
      <c r="C33" s="74"/>
      <c r="D33" s="74"/>
      <c r="E33" s="74"/>
      <c r="F33" s="74"/>
      <c r="G33" s="74"/>
      <c r="H33" s="74"/>
      <c r="I33" s="75" t="s">
        <v>68</v>
      </c>
      <c r="J33" s="74"/>
      <c r="K33" s="74"/>
      <c r="L33" s="74"/>
      <c r="M33" s="74"/>
      <c r="N33" s="74"/>
    </row>
    <row r="34" spans="1:15">
      <c r="A34" s="75"/>
      <c r="B34" s="75" t="s">
        <v>36</v>
      </c>
      <c r="C34" s="74"/>
      <c r="D34" s="74"/>
      <c r="E34" s="74"/>
      <c r="F34" s="74"/>
      <c r="G34" s="74"/>
      <c r="H34" s="74"/>
      <c r="I34" s="75" t="s">
        <v>69</v>
      </c>
      <c r="J34" s="74"/>
      <c r="K34" s="74"/>
      <c r="L34" s="74"/>
      <c r="M34" s="74"/>
      <c r="N34" s="74"/>
    </row>
    <row r="35" spans="1:15">
      <c r="A35" s="75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7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39" spans="1:15">
      <c r="E39" s="77"/>
      <c r="J39" s="77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topLeftCell="A4" zoomScale="87" zoomScaleNormal="87" workbookViewId="0">
      <selection activeCell="O17" sqref="O17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13" width="7.6640625" style="1" customWidth="1"/>
    <col min="14" max="14" width="8.6640625" style="1" customWidth="1"/>
    <col min="15" max="15" width="4.77734375" style="1" customWidth="1"/>
    <col min="16" max="16384" width="9.66406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8">
      <c r="A8" s="8" t="s">
        <v>56</v>
      </c>
      <c r="B8" s="3"/>
      <c r="C8" s="3" t="s">
        <v>131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8">
      <c r="A9" s="10" t="s">
        <v>5</v>
      </c>
      <c r="B9" s="62" t="s">
        <v>26</v>
      </c>
      <c r="C9" s="62"/>
      <c r="D9" s="62"/>
      <c r="E9" s="62"/>
      <c r="F9" s="62"/>
      <c r="G9" s="10" t="s">
        <v>57</v>
      </c>
      <c r="H9" s="62"/>
      <c r="I9" s="62"/>
      <c r="J9" s="62"/>
      <c r="K9" s="108">
        <v>2528</v>
      </c>
      <c r="L9" s="62"/>
      <c r="M9" s="10" t="s">
        <v>77</v>
      </c>
      <c r="N9" s="120">
        <v>2020</v>
      </c>
      <c r="O9" s="7"/>
    </row>
    <row r="10" spans="1:15" ht="18">
      <c r="A10" s="10" t="s">
        <v>6</v>
      </c>
      <c r="B10" s="62" t="s">
        <v>122</v>
      </c>
      <c r="C10" s="62"/>
      <c r="D10" s="62"/>
      <c r="E10" s="62"/>
      <c r="F10" s="62"/>
      <c r="G10" s="10" t="s">
        <v>58</v>
      </c>
      <c r="H10" s="62"/>
      <c r="I10" s="62"/>
      <c r="J10" s="62"/>
      <c r="K10" s="62"/>
      <c r="L10" s="62"/>
      <c r="M10" s="62"/>
      <c r="N10" s="62"/>
      <c r="O10" s="7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63"/>
    </row>
    <row r="12" spans="1:15">
      <c r="A12" s="18"/>
      <c r="B12" s="18" t="s">
        <v>29</v>
      </c>
      <c r="C12" s="18" t="s">
        <v>29</v>
      </c>
      <c r="D12" s="18" t="s">
        <v>43</v>
      </c>
      <c r="E12" s="18" t="s">
        <v>21</v>
      </c>
      <c r="F12" s="18"/>
      <c r="G12" s="18"/>
      <c r="H12" s="18"/>
      <c r="I12" s="18"/>
      <c r="J12" s="18"/>
      <c r="K12" s="18"/>
      <c r="L12" s="19"/>
      <c r="M12" s="19"/>
      <c r="N12" s="18"/>
      <c r="O12" s="63"/>
    </row>
    <row r="13" spans="1:15">
      <c r="A13" s="22"/>
      <c r="B13" s="23" t="s">
        <v>30</v>
      </c>
      <c r="C13" s="23" t="s">
        <v>124</v>
      </c>
      <c r="D13" s="23" t="s">
        <v>44</v>
      </c>
      <c r="E13" s="23" t="s">
        <v>48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63"/>
    </row>
    <row r="14" spans="1:15">
      <c r="A14" s="23" t="s">
        <v>8</v>
      </c>
      <c r="B14" s="23" t="s">
        <v>32</v>
      </c>
      <c r="C14" s="23" t="s">
        <v>125</v>
      </c>
      <c r="D14" s="23" t="s">
        <v>45</v>
      </c>
      <c r="E14" s="23" t="s">
        <v>30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132</v>
      </c>
      <c r="L14" s="27" t="s">
        <v>134</v>
      </c>
      <c r="M14" s="66"/>
      <c r="N14" s="23" t="s">
        <v>80</v>
      </c>
      <c r="O14" s="63"/>
    </row>
    <row r="15" spans="1:15">
      <c r="A15" s="23"/>
      <c r="B15" s="23" t="s">
        <v>123</v>
      </c>
      <c r="C15" s="23" t="s">
        <v>126</v>
      </c>
      <c r="D15" s="23" t="s">
        <v>32</v>
      </c>
      <c r="E15" s="23" t="s">
        <v>32</v>
      </c>
      <c r="F15" s="23" t="s">
        <v>55</v>
      </c>
      <c r="G15" s="23" t="s">
        <v>60</v>
      </c>
      <c r="H15" s="23" t="s">
        <v>127</v>
      </c>
      <c r="I15" s="22"/>
      <c r="J15" s="23"/>
      <c r="K15" s="23" t="s">
        <v>133</v>
      </c>
      <c r="L15" s="23" t="s">
        <v>133</v>
      </c>
      <c r="M15" s="23" t="s">
        <v>21</v>
      </c>
      <c r="N15" s="23" t="s">
        <v>135</v>
      </c>
      <c r="O15" s="63"/>
    </row>
    <row r="16" spans="1:15">
      <c r="A16" s="30" t="s">
        <v>9</v>
      </c>
      <c r="B16" s="110">
        <v>0</v>
      </c>
      <c r="C16" s="110">
        <f t="shared" ref="C16:C18" si="0">ROUND(L16/0.43+K16/0.48,0)</f>
        <v>0</v>
      </c>
      <c r="D16" s="110">
        <v>0</v>
      </c>
      <c r="E16" s="67">
        <f t="shared" ref="E16:E27" si="1">B16+C16-D16</f>
        <v>0</v>
      </c>
      <c r="F16" s="31"/>
      <c r="G16" s="31"/>
      <c r="H16" s="31"/>
      <c r="I16" s="31"/>
      <c r="J16" s="31"/>
      <c r="K16" s="110">
        <v>0</v>
      </c>
      <c r="L16" s="110">
        <v>0</v>
      </c>
      <c r="M16" s="32">
        <f t="shared" ref="M16:M27" si="2">SUM(K16:L16)</f>
        <v>0</v>
      </c>
      <c r="N16" s="30">
        <f>ROUND(+M16/$K$9,3)</f>
        <v>0</v>
      </c>
      <c r="O16" s="63"/>
    </row>
    <row r="17" spans="1:19">
      <c r="A17" s="30" t="s">
        <v>10</v>
      </c>
      <c r="B17" s="110">
        <v>0</v>
      </c>
      <c r="C17" s="110">
        <f t="shared" si="0"/>
        <v>0</v>
      </c>
      <c r="D17" s="110">
        <v>0</v>
      </c>
      <c r="E17" s="67">
        <f t="shared" si="1"/>
        <v>0</v>
      </c>
      <c r="F17" s="31"/>
      <c r="G17" s="31"/>
      <c r="H17" s="31"/>
      <c r="I17" s="31"/>
      <c r="J17" s="31"/>
      <c r="K17" s="110">
        <v>0</v>
      </c>
      <c r="L17" s="110">
        <v>0</v>
      </c>
      <c r="M17" s="32">
        <f t="shared" si="2"/>
        <v>0</v>
      </c>
      <c r="N17" s="30">
        <f>ROUND(+M17/$K$9,3)</f>
        <v>0</v>
      </c>
      <c r="O17" s="63"/>
    </row>
    <row r="18" spans="1:19">
      <c r="A18" s="30" t="s">
        <v>11</v>
      </c>
      <c r="B18" s="110">
        <v>0</v>
      </c>
      <c r="C18" s="110">
        <f t="shared" si="0"/>
        <v>0</v>
      </c>
      <c r="D18" s="110">
        <v>0</v>
      </c>
      <c r="E18" s="67">
        <f t="shared" si="1"/>
        <v>0</v>
      </c>
      <c r="F18" s="31"/>
      <c r="G18" s="31"/>
      <c r="H18" s="31"/>
      <c r="I18" s="31"/>
      <c r="J18" s="31"/>
      <c r="K18" s="110">
        <v>0</v>
      </c>
      <c r="L18" s="110">
        <v>0</v>
      </c>
      <c r="M18" s="32">
        <f t="shared" si="2"/>
        <v>0</v>
      </c>
      <c r="N18" s="30">
        <f>ROUND(+M18/$K$9,3)</f>
        <v>0</v>
      </c>
      <c r="O18" s="63"/>
    </row>
    <row r="19" spans="1:19">
      <c r="A19" s="30" t="s">
        <v>12</v>
      </c>
      <c r="B19" s="110">
        <v>0</v>
      </c>
      <c r="C19" s="110">
        <f>ROUND(L19/0.43+K19/0.48,0)</f>
        <v>0</v>
      </c>
      <c r="D19" s="110">
        <v>0</v>
      </c>
      <c r="E19" s="67">
        <f t="shared" si="1"/>
        <v>0</v>
      </c>
      <c r="F19" s="31"/>
      <c r="G19" s="31"/>
      <c r="H19" s="31"/>
      <c r="I19" s="31"/>
      <c r="J19" s="31"/>
      <c r="K19" s="110">
        <v>0</v>
      </c>
      <c r="L19" s="110">
        <v>0</v>
      </c>
      <c r="M19" s="32">
        <f t="shared" si="2"/>
        <v>0</v>
      </c>
      <c r="N19" s="30">
        <f t="shared" ref="N19:N27" si="3">ROUND(+M19/$K$9,3)</f>
        <v>0</v>
      </c>
      <c r="O19" s="63"/>
    </row>
    <row r="20" spans="1:19">
      <c r="A20" s="30" t="s">
        <v>13</v>
      </c>
      <c r="B20" s="110">
        <v>0</v>
      </c>
      <c r="C20" s="110">
        <f t="shared" ref="C20:C22" si="4">ROUND(L20/0.43+K20/0.48,0)</f>
        <v>0</v>
      </c>
      <c r="D20" s="110">
        <v>0</v>
      </c>
      <c r="E20" s="67">
        <f t="shared" si="1"/>
        <v>0</v>
      </c>
      <c r="F20" s="31"/>
      <c r="G20" s="31"/>
      <c r="H20" s="31"/>
      <c r="I20" s="31"/>
      <c r="J20" s="31"/>
      <c r="K20" s="110">
        <v>0</v>
      </c>
      <c r="L20" s="110">
        <v>0</v>
      </c>
      <c r="M20" s="32">
        <f t="shared" si="2"/>
        <v>0</v>
      </c>
      <c r="N20" s="30">
        <f t="shared" si="3"/>
        <v>0</v>
      </c>
      <c r="O20" s="63"/>
    </row>
    <row r="21" spans="1:19">
      <c r="A21" s="30" t="s">
        <v>14</v>
      </c>
      <c r="B21" s="110">
        <v>0</v>
      </c>
      <c r="C21" s="110">
        <f t="shared" si="4"/>
        <v>447</v>
      </c>
      <c r="D21" s="110">
        <v>0</v>
      </c>
      <c r="E21" s="67">
        <f t="shared" si="1"/>
        <v>447</v>
      </c>
      <c r="F21" s="31"/>
      <c r="G21" s="31"/>
      <c r="H21" s="31"/>
      <c r="I21" s="31"/>
      <c r="J21" s="31"/>
      <c r="K21" s="110">
        <v>0</v>
      </c>
      <c r="L21" s="110">
        <f>ROUND(S21,0)</f>
        <v>192</v>
      </c>
      <c r="M21" s="32">
        <f t="shared" si="2"/>
        <v>192</v>
      </c>
      <c r="N21" s="30">
        <f t="shared" si="3"/>
        <v>7.5999999999999998E-2</v>
      </c>
      <c r="O21" s="63"/>
      <c r="S21" s="1">
        <v>192.4</v>
      </c>
    </row>
    <row r="22" spans="1:19">
      <c r="A22" s="30" t="s">
        <v>15</v>
      </c>
      <c r="B22" s="110">
        <v>0</v>
      </c>
      <c r="C22" s="110">
        <f t="shared" si="4"/>
        <v>637</v>
      </c>
      <c r="D22" s="110">
        <v>0</v>
      </c>
      <c r="E22" s="67">
        <f t="shared" si="1"/>
        <v>637</v>
      </c>
      <c r="F22" s="31"/>
      <c r="G22" s="31"/>
      <c r="H22" s="31"/>
      <c r="I22" s="31"/>
      <c r="J22" s="31"/>
      <c r="K22" s="110">
        <v>0</v>
      </c>
      <c r="L22" s="110">
        <f t="shared" ref="K22:L27" si="5">ROUND(S22,0)</f>
        <v>274</v>
      </c>
      <c r="M22" s="32">
        <f t="shared" si="2"/>
        <v>274</v>
      </c>
      <c r="N22" s="30">
        <f t="shared" si="3"/>
        <v>0.108</v>
      </c>
      <c r="O22" s="63"/>
      <c r="S22" s="1">
        <v>273.95999999999998</v>
      </c>
    </row>
    <row r="23" spans="1:19">
      <c r="A23" s="30" t="s">
        <v>16</v>
      </c>
      <c r="B23" s="110">
        <v>0</v>
      </c>
      <c r="C23" s="110">
        <f>ROUND(L23/0.43+K23/0.48,0)</f>
        <v>586</v>
      </c>
      <c r="D23" s="110">
        <v>0</v>
      </c>
      <c r="E23" s="67">
        <f t="shared" si="1"/>
        <v>586</v>
      </c>
      <c r="F23" s="31"/>
      <c r="G23" s="31"/>
      <c r="H23" s="31"/>
      <c r="I23" s="31"/>
      <c r="J23" s="31"/>
      <c r="K23" s="110">
        <v>0</v>
      </c>
      <c r="L23" s="110">
        <f t="shared" si="5"/>
        <v>252</v>
      </c>
      <c r="M23" s="32">
        <f t="shared" si="2"/>
        <v>252</v>
      </c>
      <c r="N23" s="30">
        <f t="shared" si="3"/>
        <v>0.1</v>
      </c>
      <c r="O23" s="63"/>
      <c r="S23" s="1">
        <v>252.04</v>
      </c>
    </row>
    <row r="24" spans="1:19">
      <c r="A24" s="30" t="s">
        <v>17</v>
      </c>
      <c r="B24" s="110">
        <v>0</v>
      </c>
      <c r="C24" s="110">
        <f t="shared" ref="C24:C26" si="6">ROUND(L24/0.43+K24/0.48,0)</f>
        <v>607</v>
      </c>
      <c r="D24" s="110">
        <v>0</v>
      </c>
      <c r="E24" s="67">
        <f t="shared" si="1"/>
        <v>607</v>
      </c>
      <c r="F24" s="31"/>
      <c r="G24" s="31"/>
      <c r="H24" s="31"/>
      <c r="I24" s="31"/>
      <c r="J24" s="31"/>
      <c r="K24" s="110">
        <v>0</v>
      </c>
      <c r="L24" s="110">
        <f t="shared" si="5"/>
        <v>261</v>
      </c>
      <c r="M24" s="32">
        <f t="shared" si="2"/>
        <v>261</v>
      </c>
      <c r="N24" s="30">
        <f t="shared" si="3"/>
        <v>0.10299999999999999</v>
      </c>
      <c r="O24" s="63"/>
      <c r="S24" s="1">
        <v>261.33999999999997</v>
      </c>
    </row>
    <row r="25" spans="1:19">
      <c r="A25" s="30" t="s">
        <v>18</v>
      </c>
      <c r="B25" s="110">
        <v>0</v>
      </c>
      <c r="C25" s="110">
        <f t="shared" si="6"/>
        <v>474</v>
      </c>
      <c r="D25" s="110">
        <v>0</v>
      </c>
      <c r="E25" s="67">
        <f t="shared" si="1"/>
        <v>474</v>
      </c>
      <c r="F25" s="31"/>
      <c r="G25" s="31"/>
      <c r="H25" s="31"/>
      <c r="I25" s="31"/>
      <c r="J25" s="31"/>
      <c r="K25" s="110">
        <f t="shared" si="5"/>
        <v>12</v>
      </c>
      <c r="L25" s="110">
        <f t="shared" si="5"/>
        <v>193</v>
      </c>
      <c r="M25" s="32">
        <f t="shared" si="2"/>
        <v>205</v>
      </c>
      <c r="N25" s="30">
        <f t="shared" si="3"/>
        <v>8.1000000000000003E-2</v>
      </c>
      <c r="O25" s="63"/>
      <c r="R25" s="1">
        <v>12.38</v>
      </c>
      <c r="S25" s="1">
        <v>193.02</v>
      </c>
    </row>
    <row r="26" spans="1:19">
      <c r="A26" s="30" t="s">
        <v>19</v>
      </c>
      <c r="B26" s="110">
        <v>0</v>
      </c>
      <c r="C26" s="110">
        <f t="shared" si="6"/>
        <v>53</v>
      </c>
      <c r="D26" s="110">
        <v>0</v>
      </c>
      <c r="E26" s="67">
        <f t="shared" si="1"/>
        <v>53</v>
      </c>
      <c r="F26" s="31"/>
      <c r="G26" s="31"/>
      <c r="H26" s="31"/>
      <c r="I26" s="31"/>
      <c r="J26" s="31"/>
      <c r="K26" s="110">
        <v>0</v>
      </c>
      <c r="L26" s="110">
        <f t="shared" si="5"/>
        <v>23</v>
      </c>
      <c r="M26" s="32">
        <f t="shared" si="2"/>
        <v>23</v>
      </c>
      <c r="N26" s="30">
        <f t="shared" si="3"/>
        <v>8.9999999999999993E-3</v>
      </c>
      <c r="O26" s="63"/>
      <c r="S26" s="1">
        <v>22.98</v>
      </c>
    </row>
    <row r="27" spans="1:19">
      <c r="A27" s="30" t="s">
        <v>20</v>
      </c>
      <c r="B27" s="110">
        <v>0</v>
      </c>
      <c r="C27" s="110">
        <f>ROUND(L27/0.43+K27/0.48,0)</f>
        <v>0</v>
      </c>
      <c r="D27" s="110">
        <v>0</v>
      </c>
      <c r="E27" s="67">
        <f t="shared" si="1"/>
        <v>0</v>
      </c>
      <c r="F27" s="31"/>
      <c r="G27" s="31"/>
      <c r="H27" s="31"/>
      <c r="I27" s="31"/>
      <c r="J27" s="31"/>
      <c r="K27" s="110">
        <v>0</v>
      </c>
      <c r="L27" s="110">
        <f t="shared" si="5"/>
        <v>0</v>
      </c>
      <c r="M27" s="32">
        <f t="shared" si="2"/>
        <v>0</v>
      </c>
      <c r="N27" s="30">
        <f t="shared" si="3"/>
        <v>0</v>
      </c>
      <c r="O27" s="63"/>
    </row>
    <row r="28" spans="1:19" ht="15.75" thickBot="1">
      <c r="A28" s="30" t="s">
        <v>21</v>
      </c>
      <c r="B28" s="110">
        <v>0</v>
      </c>
      <c r="C28" s="32">
        <f>SUM(C16:C27)</f>
        <v>2804</v>
      </c>
      <c r="D28" s="32">
        <f>SUM(D16:D27)</f>
        <v>0</v>
      </c>
      <c r="E28" s="32">
        <f>SUM(E16:E27)</f>
        <v>2804</v>
      </c>
      <c r="F28" s="32"/>
      <c r="G28" s="32"/>
      <c r="H28" s="32"/>
      <c r="I28" s="32"/>
      <c r="J28" s="32"/>
      <c r="K28" s="32">
        <f>SUM(K16:K27)</f>
        <v>12</v>
      </c>
      <c r="L28" s="32">
        <f>SUM(L16:L27)</f>
        <v>1195</v>
      </c>
      <c r="M28" s="32">
        <f>SUM(M16:M27)</f>
        <v>1207</v>
      </c>
      <c r="N28" s="107">
        <f>SUM(N16:N27)</f>
        <v>0.47700000000000004</v>
      </c>
      <c r="O28" s="63"/>
    </row>
    <row r="29" spans="1:19" ht="15.75" thickTop="1">
      <c r="A29" s="15" t="s">
        <v>121</v>
      </c>
      <c r="B29" s="15"/>
      <c r="C29" s="15"/>
      <c r="D29" s="15"/>
      <c r="E29" s="68"/>
      <c r="F29" s="36"/>
      <c r="G29" s="36"/>
      <c r="H29" s="36"/>
      <c r="I29" s="36"/>
      <c r="J29" s="36"/>
      <c r="K29" s="36">
        <f>M29-L29</f>
        <v>1.0000000000000009E-2</v>
      </c>
      <c r="L29" s="36">
        <f>ROUND(L28/$K$9,2)</f>
        <v>0.47</v>
      </c>
      <c r="M29" s="36">
        <f>ROUND(M28/$K$9,2)</f>
        <v>0.48</v>
      </c>
      <c r="N29" s="22"/>
      <c r="O29" s="63"/>
    </row>
    <row r="30" spans="1:19">
      <c r="A30" s="30" t="s">
        <v>23</v>
      </c>
      <c r="B30" s="30"/>
      <c r="C30" s="30"/>
      <c r="D30" s="30"/>
      <c r="E30" s="69"/>
      <c r="F30" s="39"/>
      <c r="G30" s="39"/>
      <c r="H30" s="39"/>
      <c r="I30" s="39"/>
      <c r="J30" s="39"/>
      <c r="K30" s="39">
        <f>ROUND(M30-L30,1)</f>
        <v>0.4</v>
      </c>
      <c r="L30" s="39">
        <f>ROUND(+L28/$E$28*100,1)</f>
        <v>42.6</v>
      </c>
      <c r="M30" s="39">
        <f>ROUND(+M28/$E$28*100,1)</f>
        <v>43</v>
      </c>
      <c r="N30" s="30"/>
      <c r="O30" s="63"/>
    </row>
    <row r="31" spans="1:19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9">
      <c r="A32" s="43"/>
      <c r="B32" s="24" t="s">
        <v>34</v>
      </c>
      <c r="C32" s="3"/>
      <c r="D32" s="3"/>
      <c r="E32" s="3"/>
      <c r="F32" s="3"/>
      <c r="G32" s="3"/>
      <c r="H32" s="24" t="s">
        <v>128</v>
      </c>
      <c r="I32" s="3"/>
      <c r="J32" s="3"/>
      <c r="K32" s="3"/>
      <c r="L32" s="3"/>
      <c r="M32" s="3"/>
      <c r="N32" s="3"/>
    </row>
    <row r="33" spans="1:15">
      <c r="A33" s="43"/>
      <c r="B33" s="24" t="s">
        <v>35</v>
      </c>
      <c r="C33" s="3"/>
      <c r="D33" s="3"/>
      <c r="E33" s="3"/>
      <c r="F33" s="3"/>
      <c r="G33" s="3"/>
      <c r="H33" s="24" t="s">
        <v>129</v>
      </c>
      <c r="I33" s="3"/>
      <c r="J33" s="3"/>
      <c r="K33" s="3"/>
      <c r="L33" s="3"/>
      <c r="M33" s="3"/>
      <c r="N33" s="3"/>
    </row>
    <row r="34" spans="1:15">
      <c r="A34" s="43"/>
      <c r="B34" s="24" t="s">
        <v>36</v>
      </c>
      <c r="C34" s="3"/>
      <c r="D34" s="3"/>
      <c r="E34" s="3"/>
      <c r="F34" s="3"/>
      <c r="G34" s="3"/>
      <c r="H34" s="24" t="s">
        <v>130</v>
      </c>
      <c r="I34" s="3"/>
      <c r="J34" s="3"/>
      <c r="K34" s="3"/>
      <c r="L34" s="3"/>
      <c r="M34" s="3"/>
      <c r="N34" s="3"/>
    </row>
    <row r="35" spans="1:15">
      <c r="A35" s="43" t="s">
        <v>0</v>
      </c>
      <c r="B35" s="2"/>
      <c r="C35" s="2"/>
      <c r="D35" s="2"/>
      <c r="E35" s="2"/>
      <c r="F35" s="2"/>
      <c r="G35" s="2"/>
      <c r="H35" s="24" t="s">
        <v>0</v>
      </c>
      <c r="I35" s="24"/>
      <c r="J35" s="3"/>
      <c r="K35" s="3"/>
      <c r="L35" s="3"/>
      <c r="M35" s="3"/>
      <c r="N35" s="3"/>
      <c r="O35" s="44"/>
    </row>
    <row r="36" spans="1:15">
      <c r="A36" s="2"/>
      <c r="B36" s="2"/>
      <c r="C36" s="2" t="s">
        <v>0</v>
      </c>
      <c r="D36" s="2" t="s">
        <v>0</v>
      </c>
      <c r="E36" s="56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7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70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3.25">
      <c r="F39" s="186"/>
    </row>
    <row r="45" spans="1:15">
      <c r="B45" s="1" t="s">
        <v>132</v>
      </c>
      <c r="C45" s="1" t="s">
        <v>186</v>
      </c>
    </row>
    <row r="46" spans="1:15">
      <c r="B46" s="212">
        <v>0.48</v>
      </c>
      <c r="C46" s="212">
        <v>0.43</v>
      </c>
    </row>
  </sheetData>
  <phoneticPr fontId="0" type="noConversion"/>
  <pageMargins left="0.5" right="0.5" top="0.5" bottom="0.5" header="0" footer="0"/>
  <pageSetup scale="75" orientation="landscape" r:id="rId1"/>
  <headerFooter alignWithMargins="0"/>
  <rowBreaks count="1" manualBreakCount="1">
    <brk id="3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B28" sqref="B28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554687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168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34110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169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170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4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4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4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2678</v>
      </c>
      <c r="C19" s="111">
        <v>0</v>
      </c>
      <c r="D19" s="114">
        <v>2598</v>
      </c>
      <c r="E19" s="32">
        <f t="shared" si="0"/>
        <v>80</v>
      </c>
      <c r="F19" s="111">
        <v>0</v>
      </c>
      <c r="G19" s="32">
        <f t="shared" si="1"/>
        <v>53</v>
      </c>
      <c r="H19" s="111">
        <v>27</v>
      </c>
      <c r="I19" s="111">
        <v>0</v>
      </c>
      <c r="J19" s="32">
        <f t="shared" si="2"/>
        <v>24</v>
      </c>
      <c r="K19" s="111">
        <v>0</v>
      </c>
      <c r="L19" s="111">
        <v>3</v>
      </c>
      <c r="M19" s="32">
        <f t="shared" si="3"/>
        <v>3</v>
      </c>
      <c r="N19" s="71">
        <f t="shared" si="4"/>
        <v>0</v>
      </c>
      <c r="O19" s="85"/>
    </row>
    <row r="20" spans="1:15">
      <c r="A20" s="71" t="s">
        <v>13</v>
      </c>
      <c r="B20" s="111">
        <v>19049</v>
      </c>
      <c r="C20" s="111">
        <v>2609</v>
      </c>
      <c r="D20" s="114">
        <v>18969</v>
      </c>
      <c r="E20" s="32">
        <f t="shared" si="0"/>
        <v>2689</v>
      </c>
      <c r="F20" s="111">
        <v>1480</v>
      </c>
      <c r="G20" s="32">
        <f t="shared" si="1"/>
        <v>569</v>
      </c>
      <c r="H20" s="111">
        <v>637</v>
      </c>
      <c r="I20" s="111">
        <v>158</v>
      </c>
      <c r="J20" s="32">
        <f t="shared" si="2"/>
        <v>473</v>
      </c>
      <c r="K20" s="111">
        <v>3</v>
      </c>
      <c r="L20" s="111">
        <v>6</v>
      </c>
      <c r="M20" s="32">
        <f t="shared" si="3"/>
        <v>9</v>
      </c>
      <c r="N20" s="71">
        <f t="shared" si="4"/>
        <v>0</v>
      </c>
      <c r="O20" s="85"/>
    </row>
    <row r="21" spans="1:15">
      <c r="A21" s="71" t="s">
        <v>14</v>
      </c>
      <c r="B21" s="111">
        <v>20900</v>
      </c>
      <c r="C21" s="111">
        <v>992</v>
      </c>
      <c r="D21" s="114">
        <v>16346</v>
      </c>
      <c r="E21" s="32">
        <f t="shared" si="0"/>
        <v>5546</v>
      </c>
      <c r="F21" s="111">
        <v>2041</v>
      </c>
      <c r="G21" s="32">
        <f t="shared" si="1"/>
        <v>1061</v>
      </c>
      <c r="H21" s="111">
        <v>1935</v>
      </c>
      <c r="I21" s="111">
        <v>358</v>
      </c>
      <c r="J21" s="32">
        <f t="shared" si="2"/>
        <v>347</v>
      </c>
      <c r="K21" s="111">
        <v>509</v>
      </c>
      <c r="L21" s="111">
        <v>1230</v>
      </c>
      <c r="M21" s="32">
        <f t="shared" si="3"/>
        <v>1739</v>
      </c>
      <c r="N21" s="71">
        <f t="shared" si="4"/>
        <v>5.0999999999999997E-2</v>
      </c>
      <c r="O21" s="85"/>
    </row>
    <row r="22" spans="1:15">
      <c r="A22" s="71" t="s">
        <v>15</v>
      </c>
      <c r="B22" s="111">
        <v>27376</v>
      </c>
      <c r="C22" s="111">
        <v>0</v>
      </c>
      <c r="D22" s="114">
        <v>16088</v>
      </c>
      <c r="E22" s="32">
        <f t="shared" si="0"/>
        <v>11288</v>
      </c>
      <c r="F22" s="111">
        <v>2732</v>
      </c>
      <c r="G22" s="32">
        <f t="shared" si="1"/>
        <v>1815</v>
      </c>
      <c r="H22" s="111">
        <v>4899</v>
      </c>
      <c r="I22" s="111">
        <v>370</v>
      </c>
      <c r="J22" s="32">
        <f t="shared" si="2"/>
        <v>318</v>
      </c>
      <c r="K22" s="111">
        <v>1842</v>
      </c>
      <c r="L22" s="111">
        <v>4211</v>
      </c>
      <c r="M22" s="32">
        <f t="shared" si="3"/>
        <v>6053</v>
      </c>
      <c r="N22" s="71">
        <f t="shared" si="4"/>
        <v>0.17699999999999999</v>
      </c>
      <c r="O22" s="85"/>
    </row>
    <row r="23" spans="1:15">
      <c r="A23" s="71" t="s">
        <v>16</v>
      </c>
      <c r="B23" s="111">
        <v>31178</v>
      </c>
      <c r="C23" s="111">
        <v>0</v>
      </c>
      <c r="D23" s="114">
        <v>12679</v>
      </c>
      <c r="E23" s="32">
        <f t="shared" si="0"/>
        <v>18499</v>
      </c>
      <c r="F23" s="111">
        <v>2338</v>
      </c>
      <c r="G23" s="32">
        <f t="shared" si="1"/>
        <v>2325</v>
      </c>
      <c r="H23" s="111">
        <v>10409</v>
      </c>
      <c r="I23" s="111">
        <v>344</v>
      </c>
      <c r="J23" s="32">
        <f t="shared" si="2"/>
        <v>355</v>
      </c>
      <c r="K23" s="111">
        <v>3427</v>
      </c>
      <c r="L23" s="111">
        <v>9710</v>
      </c>
      <c r="M23" s="32">
        <f t="shared" si="3"/>
        <v>13137</v>
      </c>
      <c r="N23" s="71">
        <f t="shared" si="4"/>
        <v>0.38500000000000001</v>
      </c>
      <c r="O23" s="85"/>
    </row>
    <row r="24" spans="1:15">
      <c r="A24" s="71" t="s">
        <v>17</v>
      </c>
      <c r="B24" s="111">
        <v>10420</v>
      </c>
      <c r="C24" s="111">
        <v>0</v>
      </c>
      <c r="D24" s="114">
        <v>4919</v>
      </c>
      <c r="E24" s="32">
        <f t="shared" si="0"/>
        <v>5501</v>
      </c>
      <c r="F24" s="111">
        <v>1662</v>
      </c>
      <c r="G24" s="32">
        <f t="shared" si="1"/>
        <v>211</v>
      </c>
      <c r="H24" s="111">
        <v>2685</v>
      </c>
      <c r="I24" s="111">
        <v>206</v>
      </c>
      <c r="J24" s="32">
        <f t="shared" si="2"/>
        <v>153</v>
      </c>
      <c r="K24" s="111">
        <v>943</v>
      </c>
      <c r="L24" s="111">
        <v>2326</v>
      </c>
      <c r="M24" s="32">
        <f t="shared" si="3"/>
        <v>3269</v>
      </c>
      <c r="N24" s="71">
        <f t="shared" si="4"/>
        <v>9.6000000000000002E-2</v>
      </c>
      <c r="O24" s="85"/>
    </row>
    <row r="25" spans="1:15">
      <c r="A25" s="71" t="s">
        <v>18</v>
      </c>
      <c r="B25" s="111">
        <v>0</v>
      </c>
      <c r="C25" s="111">
        <v>0</v>
      </c>
      <c r="D25" s="114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4">
        <f>SUM(B26:C26)</f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4">
        <f>SUM(B27:C27)</f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32">
        <f>SUM(B16:B27)</f>
        <v>111601</v>
      </c>
      <c r="C28" s="32">
        <f>SUM(C16:C27)</f>
        <v>3601</v>
      </c>
      <c r="D28" s="32">
        <f>SUM(D16:D27)</f>
        <v>71599</v>
      </c>
      <c r="E28" s="32">
        <f>SUM(E16:E27)</f>
        <v>43603</v>
      </c>
      <c r="F28" s="32">
        <f>SUM(F16:F27)</f>
        <v>10253</v>
      </c>
      <c r="G28" s="124">
        <f t="shared" si="1"/>
        <v>6034</v>
      </c>
      <c r="H28" s="32">
        <f>SUM(H16:H27)</f>
        <v>20592</v>
      </c>
      <c r="I28" s="32">
        <f>SUM(I16:I27)</f>
        <v>1436</v>
      </c>
      <c r="J28" s="32">
        <f t="shared" si="2"/>
        <v>1670</v>
      </c>
      <c r="K28" s="32">
        <f>SUM(K16:K27)</f>
        <v>6724</v>
      </c>
      <c r="L28" s="32">
        <f>SUM(L16:L27)</f>
        <v>17486</v>
      </c>
      <c r="M28" s="32">
        <f>SUM(M16:M27)</f>
        <v>24210</v>
      </c>
      <c r="N28" s="131">
        <f t="shared" si="4"/>
        <v>0.71</v>
      </c>
      <c r="O28" s="85"/>
    </row>
    <row r="29" spans="1:15" ht="15.75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5">ROUND(+E28/$K$9,2)</f>
        <v>1.28</v>
      </c>
      <c r="F29" s="72">
        <f t="shared" si="5"/>
        <v>0.3</v>
      </c>
      <c r="G29" s="72">
        <f t="shared" si="5"/>
        <v>0.18</v>
      </c>
      <c r="H29" s="72">
        <f t="shared" si="5"/>
        <v>0.6</v>
      </c>
      <c r="I29" s="72">
        <f t="shared" si="5"/>
        <v>0.04</v>
      </c>
      <c r="J29" s="72">
        <f t="shared" si="5"/>
        <v>0.05</v>
      </c>
      <c r="K29" s="72">
        <f t="shared" si="5"/>
        <v>0.2</v>
      </c>
      <c r="L29" s="72">
        <f t="shared" si="5"/>
        <v>0.51</v>
      </c>
      <c r="M29" s="72">
        <f t="shared" si="5"/>
        <v>0.71</v>
      </c>
      <c r="N29" s="72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39">
        <f t="shared" si="6"/>
        <v>23.51443708001743</v>
      </c>
      <c r="G30" s="39">
        <f t="shared" si="6"/>
        <v>13.838497351099695</v>
      </c>
      <c r="H30" s="39">
        <f t="shared" si="6"/>
        <v>47.226108295300783</v>
      </c>
      <c r="I30" s="39">
        <f t="shared" si="6"/>
        <v>3.2933513749053964</v>
      </c>
      <c r="J30" s="39">
        <f t="shared" si="6"/>
        <v>3.8300116964429054</v>
      </c>
      <c r="K30" s="39">
        <f t="shared" si="6"/>
        <v>15.420957273582092</v>
      </c>
      <c r="L30" s="39">
        <f t="shared" si="6"/>
        <v>40.102745223952482</v>
      </c>
      <c r="M30" s="39">
        <f t="shared" si="6"/>
        <v>55.523702497534579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102" t="s">
        <v>173</v>
      </c>
      <c r="J36" s="103"/>
      <c r="K36" s="103"/>
      <c r="L36" s="103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7"/>
      <c r="C38" s="104" t="s">
        <v>0</v>
      </c>
      <c r="D38" s="104" t="s">
        <v>0</v>
      </c>
      <c r="E38" s="104" t="s">
        <v>0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U37" sqref="U37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6640625" style="1" customWidth="1"/>
    <col min="6" max="6" width="8.77734375" style="1" customWidth="1"/>
    <col min="7" max="7" width="8.88671875" style="1" customWidth="1"/>
    <col min="8" max="8" width="8.33203125" style="1" customWidth="1"/>
    <col min="9" max="10" width="7.6640625" style="1" customWidth="1"/>
    <col min="11" max="11" width="8.109375" style="1" customWidth="1"/>
    <col min="12" max="12" width="7.6640625" style="1" customWidth="1"/>
    <col min="13" max="13" width="9.109375" style="1" customWidth="1"/>
    <col min="14" max="14" width="8.5546875" style="1" customWidth="1"/>
    <col min="15" max="15" width="4.77734375" style="1" customWidth="1"/>
    <col min="16" max="16384" width="9.6640625" style="1"/>
  </cols>
  <sheetData>
    <row r="1" spans="1:15" ht="15.75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52"/>
      <c r="M3" s="3"/>
      <c r="N3" s="3"/>
    </row>
    <row r="4" spans="1:15" ht="18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8">
      <c r="A7" s="8" t="s">
        <v>4</v>
      </c>
      <c r="B7" s="2" t="s">
        <v>116</v>
      </c>
      <c r="C7" s="2"/>
      <c r="D7" s="2"/>
      <c r="E7" s="2"/>
      <c r="F7" s="2"/>
      <c r="G7" s="8" t="s">
        <v>56</v>
      </c>
      <c r="H7" s="2"/>
      <c r="I7" s="2" t="s">
        <v>120</v>
      </c>
      <c r="J7" s="2"/>
      <c r="K7" s="2"/>
      <c r="L7" s="2"/>
      <c r="M7" s="2"/>
      <c r="N7" s="2"/>
      <c r="O7" s="7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108">
        <v>21016</v>
      </c>
      <c r="L8" s="11"/>
      <c r="M8" s="10" t="s">
        <v>77</v>
      </c>
      <c r="N8" s="120">
        <v>2020</v>
      </c>
      <c r="O8" s="7"/>
    </row>
    <row r="9" spans="1:15" ht="18">
      <c r="A9" s="10" t="s">
        <v>6</v>
      </c>
      <c r="B9" s="11" t="s">
        <v>117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5" t="s">
        <v>7</v>
      </c>
      <c r="B10" s="15" t="s">
        <v>28</v>
      </c>
      <c r="C10" s="15" t="s">
        <v>37</v>
      </c>
      <c r="D10" s="15" t="s">
        <v>119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 ht="15.75" thickTop="1">
      <c r="A11" s="18"/>
      <c r="B11" s="18"/>
      <c r="C11" s="18" t="s">
        <v>38</v>
      </c>
      <c r="D11" s="18" t="s">
        <v>43</v>
      </c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7"/>
    </row>
    <row r="12" spans="1:15">
      <c r="A12" s="22"/>
      <c r="B12" s="23" t="s">
        <v>29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23" t="s">
        <v>72</v>
      </c>
      <c r="L12" s="24"/>
      <c r="M12" s="24"/>
      <c r="N12" s="49" t="s">
        <v>85</v>
      </c>
      <c r="O12" s="63"/>
    </row>
    <row r="13" spans="1:15">
      <c r="A13" s="23" t="s">
        <v>8</v>
      </c>
      <c r="B13" s="49" t="s">
        <v>30</v>
      </c>
      <c r="C13" s="23" t="s">
        <v>118</v>
      </c>
      <c r="D13" s="23" t="s">
        <v>45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7" t="s">
        <v>73</v>
      </c>
      <c r="L13" s="27" t="s">
        <v>30</v>
      </c>
      <c r="M13" s="27"/>
      <c r="N13" s="23" t="s">
        <v>80</v>
      </c>
      <c r="O13" s="17"/>
    </row>
    <row r="14" spans="1:15">
      <c r="A14" s="23"/>
      <c r="B14" s="23" t="s">
        <v>32</v>
      </c>
      <c r="C14" s="23" t="s">
        <v>40</v>
      </c>
      <c r="D14" s="23" t="s">
        <v>32</v>
      </c>
      <c r="E14" s="23"/>
      <c r="F14" s="23" t="s">
        <v>55</v>
      </c>
      <c r="G14" s="23" t="s">
        <v>60</v>
      </c>
      <c r="H14" s="23" t="s">
        <v>62</v>
      </c>
      <c r="I14" s="22"/>
      <c r="J14" s="23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30" t="s">
        <v>9</v>
      </c>
      <c r="B15" s="110">
        <v>0</v>
      </c>
      <c r="C15" s="110">
        <v>0</v>
      </c>
      <c r="D15" s="110">
        <v>0</v>
      </c>
      <c r="E15" s="32">
        <f t="shared" ref="E15:E26" si="0">B15+C15-D15</f>
        <v>0</v>
      </c>
      <c r="F15" s="110">
        <v>0</v>
      </c>
      <c r="G15" s="32">
        <f t="shared" ref="G15:G27" si="1">E15-F15-H15-K15</f>
        <v>0</v>
      </c>
      <c r="H15" s="110">
        <v>0</v>
      </c>
      <c r="I15" s="110">
        <v>0</v>
      </c>
      <c r="J15" s="32">
        <f t="shared" ref="J15:J27" si="2">H15-I15-L15</f>
        <v>0</v>
      </c>
      <c r="K15" s="110">
        <v>0</v>
      </c>
      <c r="L15" s="110">
        <v>0</v>
      </c>
      <c r="M15" s="32">
        <f t="shared" ref="M15:M26" si="3">SUM(K15:L15)</f>
        <v>0</v>
      </c>
      <c r="N15" s="30">
        <f t="shared" ref="N15:N26" si="4">ROUND(+M15/$K$8,3)</f>
        <v>0</v>
      </c>
      <c r="O15" s="17"/>
    </row>
    <row r="16" spans="1:15">
      <c r="A16" s="30" t="s">
        <v>10</v>
      </c>
      <c r="B16" s="110">
        <v>0</v>
      </c>
      <c r="C16" s="110">
        <v>0</v>
      </c>
      <c r="D16" s="110">
        <v>0</v>
      </c>
      <c r="E16" s="32">
        <f t="shared" si="0"/>
        <v>0</v>
      </c>
      <c r="F16" s="110">
        <v>0</v>
      </c>
      <c r="G16" s="32">
        <f t="shared" si="1"/>
        <v>0</v>
      </c>
      <c r="H16" s="110">
        <v>0</v>
      </c>
      <c r="I16" s="110">
        <v>0</v>
      </c>
      <c r="J16" s="32">
        <f t="shared" si="2"/>
        <v>0</v>
      </c>
      <c r="K16" s="110">
        <v>0</v>
      </c>
      <c r="L16" s="110">
        <v>0</v>
      </c>
      <c r="M16" s="32">
        <f t="shared" si="3"/>
        <v>0</v>
      </c>
      <c r="N16" s="30">
        <f t="shared" si="4"/>
        <v>0</v>
      </c>
      <c r="O16" s="17"/>
    </row>
    <row r="17" spans="1:15">
      <c r="A17" s="30" t="s">
        <v>11</v>
      </c>
      <c r="B17" s="110">
        <v>0</v>
      </c>
      <c r="C17" s="110">
        <v>0</v>
      </c>
      <c r="D17" s="110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2">
        <f t="shared" si="3"/>
        <v>0</v>
      </c>
      <c r="N17" s="30">
        <f t="shared" si="4"/>
        <v>0</v>
      </c>
      <c r="O17" s="17"/>
    </row>
    <row r="18" spans="1:15">
      <c r="A18" s="30" t="s">
        <v>12</v>
      </c>
      <c r="B18" s="110">
        <v>0</v>
      </c>
      <c r="C18" s="110">
        <v>0</v>
      </c>
      <c r="D18" s="110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2">
        <f t="shared" si="3"/>
        <v>0</v>
      </c>
      <c r="N18" s="30">
        <f t="shared" si="4"/>
        <v>0</v>
      </c>
      <c r="O18" s="17"/>
    </row>
    <row r="19" spans="1:15">
      <c r="A19" s="30" t="s">
        <v>13</v>
      </c>
      <c r="B19" s="110">
        <v>3623</v>
      </c>
      <c r="C19" s="110">
        <v>0</v>
      </c>
      <c r="D19" s="110">
        <v>0</v>
      </c>
      <c r="E19" s="32">
        <f t="shared" si="0"/>
        <v>3623</v>
      </c>
      <c r="F19" s="110">
        <v>1072</v>
      </c>
      <c r="G19" s="32">
        <f t="shared" si="1"/>
        <v>2547</v>
      </c>
      <c r="H19" s="110">
        <v>4</v>
      </c>
      <c r="I19" s="110">
        <v>0</v>
      </c>
      <c r="J19" s="32">
        <f t="shared" si="2"/>
        <v>0</v>
      </c>
      <c r="K19" s="110">
        <v>0</v>
      </c>
      <c r="L19" s="110">
        <v>4</v>
      </c>
      <c r="M19" s="32">
        <f t="shared" si="3"/>
        <v>4</v>
      </c>
      <c r="N19" s="30">
        <f t="shared" si="4"/>
        <v>0</v>
      </c>
      <c r="O19" s="17"/>
    </row>
    <row r="20" spans="1:15">
      <c r="A20" s="30" t="s">
        <v>14</v>
      </c>
      <c r="B20" s="110">
        <v>7258</v>
      </c>
      <c r="C20" s="110">
        <v>0</v>
      </c>
      <c r="D20" s="110">
        <v>0</v>
      </c>
      <c r="E20" s="32">
        <f t="shared" si="0"/>
        <v>7258</v>
      </c>
      <c r="F20" s="110">
        <v>1802</v>
      </c>
      <c r="G20" s="32">
        <f t="shared" si="1"/>
        <v>3297</v>
      </c>
      <c r="H20" s="110">
        <v>1941</v>
      </c>
      <c r="I20" s="110">
        <v>0</v>
      </c>
      <c r="J20" s="32">
        <f t="shared" si="2"/>
        <v>0</v>
      </c>
      <c r="K20" s="110">
        <v>218</v>
      </c>
      <c r="L20" s="110">
        <v>1941</v>
      </c>
      <c r="M20" s="32">
        <f t="shared" si="3"/>
        <v>2159</v>
      </c>
      <c r="N20" s="30">
        <f t="shared" si="4"/>
        <v>0.10299999999999999</v>
      </c>
      <c r="O20" s="17"/>
    </row>
    <row r="21" spans="1:15">
      <c r="A21" s="30" t="s">
        <v>15</v>
      </c>
      <c r="B21" s="110">
        <v>12287</v>
      </c>
      <c r="C21" s="110">
        <v>0</v>
      </c>
      <c r="D21" s="110">
        <v>0</v>
      </c>
      <c r="E21" s="32">
        <f t="shared" si="0"/>
        <v>12287</v>
      </c>
      <c r="F21" s="110">
        <v>2240</v>
      </c>
      <c r="G21" s="32">
        <f t="shared" si="1"/>
        <v>2989</v>
      </c>
      <c r="H21" s="110">
        <v>6274</v>
      </c>
      <c r="I21" s="110">
        <v>0</v>
      </c>
      <c r="J21" s="32">
        <f t="shared" si="2"/>
        <v>0</v>
      </c>
      <c r="K21" s="110">
        <v>784</v>
      </c>
      <c r="L21" s="110">
        <v>6274</v>
      </c>
      <c r="M21" s="32">
        <f t="shared" si="3"/>
        <v>7058</v>
      </c>
      <c r="N21" s="30">
        <f t="shared" si="4"/>
        <v>0.33600000000000002</v>
      </c>
      <c r="O21" s="17"/>
    </row>
    <row r="22" spans="1:15">
      <c r="A22" s="30" t="s">
        <v>16</v>
      </c>
      <c r="B22" s="110">
        <v>17597</v>
      </c>
      <c r="C22" s="110">
        <v>0</v>
      </c>
      <c r="D22" s="110">
        <v>0</v>
      </c>
      <c r="E22" s="32">
        <f t="shared" si="0"/>
        <v>17597</v>
      </c>
      <c r="F22" s="110">
        <v>3552</v>
      </c>
      <c r="G22" s="32">
        <f t="shared" si="1"/>
        <v>2491</v>
      </c>
      <c r="H22" s="110">
        <v>10096</v>
      </c>
      <c r="I22" s="110">
        <v>0</v>
      </c>
      <c r="J22" s="32">
        <f t="shared" si="2"/>
        <v>0</v>
      </c>
      <c r="K22" s="110">
        <v>1458</v>
      </c>
      <c r="L22" s="110">
        <v>10096</v>
      </c>
      <c r="M22" s="32">
        <f t="shared" si="3"/>
        <v>11554</v>
      </c>
      <c r="N22" s="30">
        <f t="shared" si="4"/>
        <v>0.55000000000000004</v>
      </c>
      <c r="O22" s="17"/>
    </row>
    <row r="23" spans="1:15">
      <c r="A23" s="30" t="s">
        <v>17</v>
      </c>
      <c r="B23" s="110">
        <v>8275</v>
      </c>
      <c r="C23" s="110">
        <v>0</v>
      </c>
      <c r="D23" s="110">
        <v>0</v>
      </c>
      <c r="E23" s="32">
        <f t="shared" si="0"/>
        <v>8275</v>
      </c>
      <c r="F23" s="110">
        <v>6365</v>
      </c>
      <c r="G23" s="32">
        <f t="shared" si="1"/>
        <v>683</v>
      </c>
      <c r="H23" s="110">
        <v>1028</v>
      </c>
      <c r="I23" s="110">
        <v>0</v>
      </c>
      <c r="J23" s="32">
        <f t="shared" si="2"/>
        <v>0</v>
      </c>
      <c r="K23" s="110">
        <v>199</v>
      </c>
      <c r="L23" s="110">
        <v>1028</v>
      </c>
      <c r="M23" s="32">
        <f t="shared" si="3"/>
        <v>1227</v>
      </c>
      <c r="N23" s="30">
        <f t="shared" si="4"/>
        <v>5.8000000000000003E-2</v>
      </c>
      <c r="O23" s="17"/>
    </row>
    <row r="24" spans="1:15">
      <c r="A24" s="30" t="s">
        <v>18</v>
      </c>
      <c r="B24" s="110">
        <v>0</v>
      </c>
      <c r="C24" s="110">
        <v>0</v>
      </c>
      <c r="D24" s="110">
        <v>0</v>
      </c>
      <c r="E24" s="32">
        <f t="shared" si="0"/>
        <v>0</v>
      </c>
      <c r="F24" s="110">
        <v>0</v>
      </c>
      <c r="G24" s="32">
        <f t="shared" si="1"/>
        <v>0</v>
      </c>
      <c r="H24" s="110">
        <v>0</v>
      </c>
      <c r="I24" s="110">
        <v>0</v>
      </c>
      <c r="J24" s="32">
        <f t="shared" si="2"/>
        <v>0</v>
      </c>
      <c r="K24" s="110">
        <v>0</v>
      </c>
      <c r="L24" s="110">
        <v>0</v>
      </c>
      <c r="M24" s="32">
        <f t="shared" si="3"/>
        <v>0</v>
      </c>
      <c r="N24" s="30">
        <f t="shared" si="4"/>
        <v>0</v>
      </c>
      <c r="O24" s="17"/>
    </row>
    <row r="25" spans="1:15">
      <c r="A25" s="30" t="s">
        <v>19</v>
      </c>
      <c r="B25" s="110">
        <v>0</v>
      </c>
      <c r="C25" s="110">
        <v>0</v>
      </c>
      <c r="D25" s="110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2">
        <f t="shared" si="3"/>
        <v>0</v>
      </c>
      <c r="N25" s="30">
        <f t="shared" si="4"/>
        <v>0</v>
      </c>
      <c r="O25" s="17"/>
    </row>
    <row r="26" spans="1:15">
      <c r="A26" s="30" t="s">
        <v>20</v>
      </c>
      <c r="B26" s="110">
        <v>0</v>
      </c>
      <c r="C26" s="110">
        <v>0</v>
      </c>
      <c r="D26" s="110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2">
        <f t="shared" si="3"/>
        <v>0</v>
      </c>
      <c r="N26" s="30">
        <f t="shared" si="4"/>
        <v>0</v>
      </c>
      <c r="O26" s="17"/>
    </row>
    <row r="27" spans="1:15" ht="15.75" thickBot="1">
      <c r="A27" s="30" t="s">
        <v>21</v>
      </c>
      <c r="B27" s="32">
        <f>SUM(B15:B26)</f>
        <v>49040</v>
      </c>
      <c r="C27" s="32">
        <f>SUM(C15:C26)</f>
        <v>0</v>
      </c>
      <c r="D27" s="32">
        <f>SUM(D15:D26)</f>
        <v>0</v>
      </c>
      <c r="E27" s="32">
        <f>SUM(E15:E26)</f>
        <v>49040</v>
      </c>
      <c r="F27" s="124">
        <f>SUM(F15:F26)</f>
        <v>15031</v>
      </c>
      <c r="G27" s="32">
        <f t="shared" si="1"/>
        <v>12007</v>
      </c>
      <c r="H27" s="32">
        <f>SUM(H15:H26)</f>
        <v>19343</v>
      </c>
      <c r="I27" s="32">
        <f>SUM(I15:I26)</f>
        <v>0</v>
      </c>
      <c r="J27" s="32">
        <f t="shared" si="2"/>
        <v>0</v>
      </c>
      <c r="K27" s="32">
        <f>SUM(K15:K26)</f>
        <v>2659</v>
      </c>
      <c r="L27" s="32">
        <f>SUM(L15:L26)</f>
        <v>19343</v>
      </c>
      <c r="M27" s="32">
        <f>SUM(M15:M26)</f>
        <v>22002</v>
      </c>
      <c r="N27" s="131">
        <f>SUM(N15:N26)</f>
        <v>1.0470000000000002</v>
      </c>
      <c r="O27" s="17"/>
    </row>
    <row r="28" spans="1:15" ht="15.75" thickTop="1">
      <c r="A28" s="15" t="s">
        <v>110</v>
      </c>
      <c r="B28" s="36" t="s">
        <v>0</v>
      </c>
      <c r="C28" s="36" t="s">
        <v>0</v>
      </c>
      <c r="D28" s="36" t="s">
        <v>0</v>
      </c>
      <c r="E28" s="36">
        <f t="shared" ref="E28:M28" si="5">ROUND(+E27/$K$8,2)</f>
        <v>2.33</v>
      </c>
      <c r="F28" s="36">
        <f t="shared" si="5"/>
        <v>0.72</v>
      </c>
      <c r="G28" s="36">
        <f t="shared" si="5"/>
        <v>0.56999999999999995</v>
      </c>
      <c r="H28" s="36">
        <f t="shared" si="5"/>
        <v>0.92</v>
      </c>
      <c r="I28" s="36">
        <f t="shared" si="5"/>
        <v>0</v>
      </c>
      <c r="J28" s="36">
        <f t="shared" si="5"/>
        <v>0</v>
      </c>
      <c r="K28" s="36">
        <f t="shared" si="5"/>
        <v>0.13</v>
      </c>
      <c r="L28" s="36">
        <f t="shared" si="5"/>
        <v>0.92</v>
      </c>
      <c r="M28" s="36">
        <f t="shared" si="5"/>
        <v>1.05</v>
      </c>
      <c r="N28" s="15"/>
      <c r="O28" s="17"/>
    </row>
    <row r="29" spans="1:15">
      <c r="A29" s="30" t="s">
        <v>23</v>
      </c>
      <c r="B29" s="39" t="s">
        <v>0</v>
      </c>
      <c r="C29" s="39" t="s">
        <v>0</v>
      </c>
      <c r="D29" s="39" t="s">
        <v>0</v>
      </c>
      <c r="E29" s="39">
        <f>E27/$E$27*100</f>
        <v>100</v>
      </c>
      <c r="F29" s="39">
        <f t="shared" ref="F29:M29" si="6">ROUND(+F27/$E$27*100,1)</f>
        <v>30.7</v>
      </c>
      <c r="G29" s="39">
        <f t="shared" si="6"/>
        <v>24.5</v>
      </c>
      <c r="H29" s="39">
        <f t="shared" si="6"/>
        <v>39.4</v>
      </c>
      <c r="I29" s="39">
        <f t="shared" si="6"/>
        <v>0</v>
      </c>
      <c r="J29" s="39">
        <f t="shared" si="6"/>
        <v>0</v>
      </c>
      <c r="K29" s="39">
        <f t="shared" si="6"/>
        <v>5.4</v>
      </c>
      <c r="L29" s="39">
        <f t="shared" si="6"/>
        <v>39.4</v>
      </c>
      <c r="M29" s="39">
        <f t="shared" si="6"/>
        <v>44.9</v>
      </c>
      <c r="N29" s="30"/>
      <c r="O29" s="17"/>
    </row>
    <row r="30" spans="1: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>
      <c r="A31" s="24" t="s">
        <v>24</v>
      </c>
      <c r="B31" s="24" t="s">
        <v>33</v>
      </c>
      <c r="C31" s="3"/>
      <c r="D31" s="3"/>
      <c r="E31" s="3"/>
      <c r="F31" s="3"/>
      <c r="G31" s="3"/>
      <c r="H31" s="3"/>
      <c r="I31" s="24" t="s">
        <v>66</v>
      </c>
      <c r="J31" s="3"/>
      <c r="K31" s="3"/>
      <c r="L31" s="3"/>
      <c r="M31" s="3"/>
      <c r="N31" s="3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54"/>
      <c r="B35" s="2"/>
      <c r="C35" s="2" t="s">
        <v>0</v>
      </c>
      <c r="D35" s="2" t="s">
        <v>0</v>
      </c>
      <c r="E35" s="56" t="s">
        <v>0</v>
      </c>
      <c r="F35" s="2"/>
      <c r="G35" s="2"/>
      <c r="H35" s="3"/>
      <c r="I35" s="43" t="s">
        <v>0</v>
      </c>
      <c r="J35" s="3"/>
      <c r="K35" s="3"/>
      <c r="L35" s="3"/>
      <c r="M35" s="3"/>
      <c r="N35" s="3"/>
      <c r="O35" s="44"/>
    </row>
    <row r="36" spans="1:15">
      <c r="A36" s="54"/>
      <c r="B36" s="2"/>
      <c r="C36" s="2" t="s">
        <v>0</v>
      </c>
      <c r="D36" s="2" t="s">
        <v>0</v>
      </c>
      <c r="E36" s="56" t="s">
        <v>0</v>
      </c>
      <c r="F36" s="2"/>
      <c r="G36" s="2"/>
      <c r="H36" s="3"/>
      <c r="I36" s="43" t="s">
        <v>0</v>
      </c>
      <c r="J36" s="3"/>
      <c r="K36" s="3"/>
      <c r="L36" s="3"/>
      <c r="M36" s="3"/>
      <c r="N36" s="3"/>
    </row>
    <row r="37" spans="1:15">
      <c r="A37" s="7"/>
      <c r="C37" s="64" t="s">
        <v>0</v>
      </c>
      <c r="D37" s="64" t="s">
        <v>0</v>
      </c>
      <c r="E37" s="65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topLeftCell="A5" zoomScale="87" zoomScaleNormal="87" workbookViewId="0">
      <selection activeCell="T42" sqref="T42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5" width="7.6640625" style="78" customWidth="1"/>
    <col min="6" max="6" width="8.6640625" style="78" customWidth="1"/>
    <col min="7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181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v>55126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182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0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29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f>mirdan!B16+Fullerton!B15</f>
        <v>0</v>
      </c>
      <c r="C16" s="53">
        <f>mirdan!C16+Fullerton!C15</f>
        <v>0</v>
      </c>
      <c r="D16" s="53">
        <f>mirdan!D16+Fullerton!D15</f>
        <v>0</v>
      </c>
      <c r="E16" s="32">
        <f>mirdan!E16+Fullerton!E15</f>
        <v>0</v>
      </c>
      <c r="F16" s="53">
        <f>mirdan!F16+Fullerton!F15</f>
        <v>0</v>
      </c>
      <c r="G16" s="32">
        <f>mirdan!G16+Fullerton!G15</f>
        <v>0</v>
      </c>
      <c r="H16" s="53">
        <f>mirdan!H16+Fullerton!H15</f>
        <v>0</v>
      </c>
      <c r="I16" s="53">
        <f>mirdan!I16+Fullerton!I15</f>
        <v>0</v>
      </c>
      <c r="J16" s="32">
        <f>mirdan!J16+Fullerton!J15</f>
        <v>0</v>
      </c>
      <c r="K16" s="53">
        <f>mirdan!K16+Fullerton!K15</f>
        <v>0</v>
      </c>
      <c r="L16" s="53">
        <f>mirdan!L16+Fullerton!L15</f>
        <v>0</v>
      </c>
      <c r="M16" s="32">
        <f t="shared" ref="M16:M27" si="0">SUM(K16:L16)</f>
        <v>0</v>
      </c>
      <c r="N16" s="71">
        <f t="shared" ref="N16:N28" si="1">ROUND(+M16/$K$9,3)</f>
        <v>0</v>
      </c>
      <c r="O16" s="85"/>
    </row>
    <row r="17" spans="1:15">
      <c r="A17" s="71" t="s">
        <v>10</v>
      </c>
      <c r="B17" s="53">
        <f>mirdan!B17+Fullerton!B16</f>
        <v>0</v>
      </c>
      <c r="C17" s="53">
        <f>mirdan!C17+Fullerton!C16</f>
        <v>0</v>
      </c>
      <c r="D17" s="53">
        <f>mirdan!D17+Fullerton!D16</f>
        <v>0</v>
      </c>
      <c r="E17" s="32">
        <f>mirdan!E17+Fullerton!E16</f>
        <v>0</v>
      </c>
      <c r="F17" s="53">
        <f>mirdan!F17+Fullerton!F16</f>
        <v>0</v>
      </c>
      <c r="G17" s="32">
        <f>mirdan!G17+Fullerton!G16</f>
        <v>0</v>
      </c>
      <c r="H17" s="53">
        <f>mirdan!H17+Fullerton!H16</f>
        <v>0</v>
      </c>
      <c r="I17" s="53">
        <f>mirdan!I17+Fullerton!I16</f>
        <v>0</v>
      </c>
      <c r="J17" s="32">
        <f>mirdan!J17+Fullerton!J16</f>
        <v>0</v>
      </c>
      <c r="K17" s="53">
        <f>mirdan!K17+Fullerton!K16</f>
        <v>0</v>
      </c>
      <c r="L17" s="53">
        <f>mirdan!L17+Fullerton!L16</f>
        <v>0</v>
      </c>
      <c r="M17" s="32">
        <f t="shared" si="0"/>
        <v>0</v>
      </c>
      <c r="N17" s="71">
        <f t="shared" si="1"/>
        <v>0</v>
      </c>
      <c r="O17" s="85"/>
    </row>
    <row r="18" spans="1:15">
      <c r="A18" s="71" t="s">
        <v>11</v>
      </c>
      <c r="B18" s="53">
        <f>mirdan!B18+Fullerton!B17</f>
        <v>0</v>
      </c>
      <c r="C18" s="53">
        <f>mirdan!C18+Fullerton!C17</f>
        <v>0</v>
      </c>
      <c r="D18" s="53">
        <f>mirdan!D18+Fullerton!D17</f>
        <v>0</v>
      </c>
      <c r="E18" s="32">
        <f>mirdan!E18+Fullerton!E17</f>
        <v>0</v>
      </c>
      <c r="F18" s="53">
        <f>mirdan!F18+Fullerton!F17</f>
        <v>0</v>
      </c>
      <c r="G18" s="32">
        <f>mirdan!G18+Fullerton!G17</f>
        <v>0</v>
      </c>
      <c r="H18" s="53">
        <f>mirdan!H18+Fullerton!H17</f>
        <v>0</v>
      </c>
      <c r="I18" s="53">
        <f>mirdan!I18+Fullerton!I17</f>
        <v>0</v>
      </c>
      <c r="J18" s="32">
        <f>mirdan!J18+Fullerton!J17</f>
        <v>0</v>
      </c>
      <c r="K18" s="53">
        <f>mirdan!K18+Fullerton!K17</f>
        <v>0</v>
      </c>
      <c r="L18" s="53">
        <f>mirdan!L18+Fullerton!L17</f>
        <v>0</v>
      </c>
      <c r="M18" s="32">
        <f t="shared" si="0"/>
        <v>0</v>
      </c>
      <c r="N18" s="71">
        <f t="shared" si="1"/>
        <v>0</v>
      </c>
      <c r="O18" s="85"/>
    </row>
    <row r="19" spans="1:15">
      <c r="A19" s="71" t="s">
        <v>12</v>
      </c>
      <c r="B19" s="53">
        <f>mirdan!B19+Fullerton!B18</f>
        <v>2678</v>
      </c>
      <c r="C19" s="53">
        <f>mirdan!C19+Fullerton!C18</f>
        <v>0</v>
      </c>
      <c r="D19" s="53">
        <f>mirdan!D19+Fullerton!D18</f>
        <v>2598</v>
      </c>
      <c r="E19" s="32">
        <f>mirdan!E19+Fullerton!E18</f>
        <v>80</v>
      </c>
      <c r="F19" s="53">
        <f>mirdan!F19+Fullerton!F18</f>
        <v>0</v>
      </c>
      <c r="G19" s="32">
        <f>mirdan!G19+Fullerton!G18</f>
        <v>53</v>
      </c>
      <c r="H19" s="53">
        <f>mirdan!H19+Fullerton!H18</f>
        <v>27</v>
      </c>
      <c r="I19" s="53">
        <f>mirdan!I19+Fullerton!I18</f>
        <v>0</v>
      </c>
      <c r="J19" s="32">
        <f>mirdan!J19+Fullerton!J18</f>
        <v>24</v>
      </c>
      <c r="K19" s="53">
        <f>mirdan!K19+Fullerton!K18</f>
        <v>0</v>
      </c>
      <c r="L19" s="53">
        <f>mirdan!L19+Fullerton!L18</f>
        <v>3</v>
      </c>
      <c r="M19" s="32">
        <f t="shared" si="0"/>
        <v>3</v>
      </c>
      <c r="N19" s="71">
        <f t="shared" si="1"/>
        <v>0</v>
      </c>
      <c r="O19" s="85"/>
    </row>
    <row r="20" spans="1:15">
      <c r="A20" s="71" t="s">
        <v>13</v>
      </c>
      <c r="B20" s="53">
        <f>mirdan!B20+Fullerton!B19</f>
        <v>22672</v>
      </c>
      <c r="C20" s="53">
        <f>mirdan!C20+Fullerton!C19</f>
        <v>2609</v>
      </c>
      <c r="D20" s="53">
        <f>mirdan!D20+Fullerton!D19</f>
        <v>18969</v>
      </c>
      <c r="E20" s="32">
        <f>mirdan!E20+Fullerton!E19</f>
        <v>6312</v>
      </c>
      <c r="F20" s="53">
        <f>mirdan!F20+Fullerton!F19</f>
        <v>2552</v>
      </c>
      <c r="G20" s="32">
        <f>mirdan!G20+Fullerton!G19</f>
        <v>3116</v>
      </c>
      <c r="H20" s="53">
        <f>mirdan!H20+Fullerton!H19</f>
        <v>641</v>
      </c>
      <c r="I20" s="53">
        <f>mirdan!I20+Fullerton!I19</f>
        <v>158</v>
      </c>
      <c r="J20" s="32">
        <f>mirdan!J20+Fullerton!J19</f>
        <v>473</v>
      </c>
      <c r="K20" s="53">
        <f>mirdan!K20+Fullerton!K19</f>
        <v>3</v>
      </c>
      <c r="L20" s="53">
        <f>mirdan!L20+Fullerton!L19</f>
        <v>10</v>
      </c>
      <c r="M20" s="32">
        <f t="shared" si="0"/>
        <v>13</v>
      </c>
      <c r="N20" s="71">
        <f t="shared" si="1"/>
        <v>0</v>
      </c>
      <c r="O20" s="85"/>
    </row>
    <row r="21" spans="1:15">
      <c r="A21" s="71" t="s">
        <v>14</v>
      </c>
      <c r="B21" s="53">
        <f>mirdan!B21+Fullerton!B20</f>
        <v>28158</v>
      </c>
      <c r="C21" s="53">
        <f>mirdan!C21+Fullerton!C20</f>
        <v>992</v>
      </c>
      <c r="D21" s="53">
        <f>mirdan!D21+Fullerton!D20</f>
        <v>16346</v>
      </c>
      <c r="E21" s="32">
        <f>mirdan!E21+Fullerton!E20</f>
        <v>12804</v>
      </c>
      <c r="F21" s="53">
        <f>mirdan!F21+Fullerton!F20</f>
        <v>3843</v>
      </c>
      <c r="G21" s="32">
        <f>mirdan!G21+Fullerton!G20</f>
        <v>4358</v>
      </c>
      <c r="H21" s="53">
        <f>mirdan!H21+Fullerton!H20</f>
        <v>3876</v>
      </c>
      <c r="I21" s="53">
        <f>mirdan!I21+Fullerton!I20</f>
        <v>358</v>
      </c>
      <c r="J21" s="32">
        <f>mirdan!J21+Fullerton!J20</f>
        <v>347</v>
      </c>
      <c r="K21" s="53">
        <f>mirdan!K21+Fullerton!K20</f>
        <v>727</v>
      </c>
      <c r="L21" s="53">
        <f>mirdan!L21+Fullerton!L20</f>
        <v>3171</v>
      </c>
      <c r="M21" s="32">
        <f t="shared" si="0"/>
        <v>3898</v>
      </c>
      <c r="N21" s="71">
        <f t="shared" si="1"/>
        <v>7.0999999999999994E-2</v>
      </c>
      <c r="O21" s="85"/>
    </row>
    <row r="22" spans="1:15">
      <c r="A22" s="71" t="s">
        <v>15</v>
      </c>
      <c r="B22" s="53">
        <f>mirdan!B22+Fullerton!B21</f>
        <v>39663</v>
      </c>
      <c r="C22" s="53">
        <f>mirdan!C22+Fullerton!C21</f>
        <v>0</v>
      </c>
      <c r="D22" s="53">
        <f>mirdan!D22+Fullerton!D21</f>
        <v>16088</v>
      </c>
      <c r="E22" s="32">
        <f>mirdan!E22+Fullerton!E21</f>
        <v>23575</v>
      </c>
      <c r="F22" s="53">
        <f>mirdan!F22+Fullerton!F21</f>
        <v>4972</v>
      </c>
      <c r="G22" s="32">
        <f>mirdan!G22+Fullerton!G21</f>
        <v>4804</v>
      </c>
      <c r="H22" s="53">
        <f>mirdan!H22+Fullerton!H21</f>
        <v>11173</v>
      </c>
      <c r="I22" s="53">
        <f>mirdan!I22+Fullerton!I21</f>
        <v>370</v>
      </c>
      <c r="J22" s="32">
        <f>mirdan!J22+Fullerton!J21</f>
        <v>318</v>
      </c>
      <c r="K22" s="53">
        <f>mirdan!K22+Fullerton!K21</f>
        <v>2626</v>
      </c>
      <c r="L22" s="53">
        <f>mirdan!L22+Fullerton!L21</f>
        <v>10485</v>
      </c>
      <c r="M22" s="32">
        <f t="shared" si="0"/>
        <v>13111</v>
      </c>
      <c r="N22" s="71">
        <f t="shared" si="1"/>
        <v>0.23799999999999999</v>
      </c>
      <c r="O22" s="85"/>
    </row>
    <row r="23" spans="1:15">
      <c r="A23" s="71" t="s">
        <v>16</v>
      </c>
      <c r="B23" s="53">
        <f>mirdan!B23+Fullerton!B22</f>
        <v>48775</v>
      </c>
      <c r="C23" s="53">
        <f>mirdan!C23+Fullerton!C22</f>
        <v>0</v>
      </c>
      <c r="D23" s="53">
        <f>mirdan!D23+Fullerton!D22</f>
        <v>12679</v>
      </c>
      <c r="E23" s="32">
        <f>mirdan!E23+Fullerton!E22</f>
        <v>36096</v>
      </c>
      <c r="F23" s="53">
        <f>mirdan!F23+Fullerton!F22</f>
        <v>5890</v>
      </c>
      <c r="G23" s="32">
        <f>mirdan!G23+Fullerton!G22</f>
        <v>4816</v>
      </c>
      <c r="H23" s="53">
        <f>mirdan!H23+Fullerton!H22</f>
        <v>20505</v>
      </c>
      <c r="I23" s="53">
        <f>mirdan!I23+Fullerton!I22</f>
        <v>344</v>
      </c>
      <c r="J23" s="32">
        <f>mirdan!J23+Fullerton!J22</f>
        <v>355</v>
      </c>
      <c r="K23" s="53">
        <f>mirdan!K23+Fullerton!K22</f>
        <v>4885</v>
      </c>
      <c r="L23" s="53">
        <f>mirdan!L23+Fullerton!L22</f>
        <v>19806</v>
      </c>
      <c r="M23" s="32">
        <f t="shared" si="0"/>
        <v>24691</v>
      </c>
      <c r="N23" s="71">
        <f t="shared" si="1"/>
        <v>0.44800000000000001</v>
      </c>
      <c r="O23" s="85"/>
    </row>
    <row r="24" spans="1:15">
      <c r="A24" s="71" t="s">
        <v>17</v>
      </c>
      <c r="B24" s="53">
        <f>mirdan!B24+Fullerton!B23</f>
        <v>18695</v>
      </c>
      <c r="C24" s="53">
        <f>mirdan!C24+Fullerton!C23</f>
        <v>0</v>
      </c>
      <c r="D24" s="53">
        <f>mirdan!D24+Fullerton!D23</f>
        <v>4919</v>
      </c>
      <c r="E24" s="32">
        <f>mirdan!E24+Fullerton!E23</f>
        <v>13776</v>
      </c>
      <c r="F24" s="53">
        <f>mirdan!F24+Fullerton!F23</f>
        <v>8027</v>
      </c>
      <c r="G24" s="32">
        <f>mirdan!G24+Fullerton!G23</f>
        <v>894</v>
      </c>
      <c r="H24" s="53">
        <f>mirdan!H24+Fullerton!H23</f>
        <v>3713</v>
      </c>
      <c r="I24" s="53">
        <f>mirdan!I24+Fullerton!I23</f>
        <v>206</v>
      </c>
      <c r="J24" s="32">
        <f>mirdan!J24+Fullerton!J23</f>
        <v>153</v>
      </c>
      <c r="K24" s="53">
        <f>mirdan!K24+Fullerton!K23</f>
        <v>1142</v>
      </c>
      <c r="L24" s="53">
        <f>mirdan!L24+Fullerton!L23</f>
        <v>3354</v>
      </c>
      <c r="M24" s="32">
        <f t="shared" si="0"/>
        <v>4496</v>
      </c>
      <c r="N24" s="71">
        <f t="shared" si="1"/>
        <v>8.2000000000000003E-2</v>
      </c>
      <c r="O24" s="85"/>
    </row>
    <row r="25" spans="1:15">
      <c r="A25" s="71" t="s">
        <v>18</v>
      </c>
      <c r="B25" s="53">
        <f>mirdan!B25+Fullerton!B24</f>
        <v>0</v>
      </c>
      <c r="C25" s="53">
        <f>mirdan!C25+Fullerton!C24</f>
        <v>0</v>
      </c>
      <c r="D25" s="53">
        <f>mirdan!D25+Fullerton!D24</f>
        <v>0</v>
      </c>
      <c r="E25" s="32">
        <f>mirdan!E25+Fullerton!E24</f>
        <v>0</v>
      </c>
      <c r="F25" s="53">
        <f>mirdan!F25+Fullerton!F24</f>
        <v>0</v>
      </c>
      <c r="G25" s="32">
        <f>mirdan!G25+Fullerton!G24</f>
        <v>0</v>
      </c>
      <c r="H25" s="53">
        <f>mirdan!H25+Fullerton!H24</f>
        <v>0</v>
      </c>
      <c r="I25" s="53">
        <f>mirdan!I25+Fullerton!I24</f>
        <v>0</v>
      </c>
      <c r="J25" s="32">
        <f>mirdan!J25+Fullerton!J24</f>
        <v>0</v>
      </c>
      <c r="K25" s="53">
        <f>mirdan!K25+Fullerton!K24</f>
        <v>0</v>
      </c>
      <c r="L25" s="53">
        <f>mirdan!L25+Fullerton!L24</f>
        <v>0</v>
      </c>
      <c r="M25" s="32">
        <f t="shared" si="0"/>
        <v>0</v>
      </c>
      <c r="N25" s="71">
        <f t="shared" si="1"/>
        <v>0</v>
      </c>
      <c r="O25" s="85"/>
    </row>
    <row r="26" spans="1:15">
      <c r="A26" s="71" t="s">
        <v>19</v>
      </c>
      <c r="B26" s="53">
        <f>mirdan!B26+Fullerton!B25</f>
        <v>0</v>
      </c>
      <c r="C26" s="53">
        <f>mirdan!C26+Fullerton!C25</f>
        <v>0</v>
      </c>
      <c r="D26" s="53">
        <f>mirdan!D26+Fullerton!D25</f>
        <v>0</v>
      </c>
      <c r="E26" s="32">
        <f>mirdan!E26+Fullerton!E25</f>
        <v>0</v>
      </c>
      <c r="F26" s="53">
        <f>mirdan!F26+Fullerton!F25</f>
        <v>0</v>
      </c>
      <c r="G26" s="32">
        <f>mirdan!G26+Fullerton!G25</f>
        <v>0</v>
      </c>
      <c r="H26" s="53">
        <f>mirdan!H26+Fullerton!H25</f>
        <v>0</v>
      </c>
      <c r="I26" s="53">
        <f>mirdan!I26+Fullerton!I25</f>
        <v>0</v>
      </c>
      <c r="J26" s="32">
        <f>mirdan!J26+Fullerton!J25</f>
        <v>0</v>
      </c>
      <c r="K26" s="53">
        <f>mirdan!K26+Fullerton!K25</f>
        <v>0</v>
      </c>
      <c r="L26" s="53">
        <f>mirdan!L26+Fullerton!L25</f>
        <v>0</v>
      </c>
      <c r="M26" s="32">
        <f t="shared" si="0"/>
        <v>0</v>
      </c>
      <c r="N26" s="71">
        <f t="shared" si="1"/>
        <v>0</v>
      </c>
      <c r="O26" s="85"/>
    </row>
    <row r="27" spans="1:15">
      <c r="A27" s="71" t="s">
        <v>20</v>
      </c>
      <c r="B27" s="53">
        <f>mirdan!B27+Fullerton!B26</f>
        <v>0</v>
      </c>
      <c r="C27" s="53">
        <f>mirdan!C27+Fullerton!C26</f>
        <v>0</v>
      </c>
      <c r="D27" s="53">
        <f>mirdan!D27+Fullerton!D26</f>
        <v>0</v>
      </c>
      <c r="E27" s="32">
        <f>mirdan!E27+Fullerton!E26</f>
        <v>0</v>
      </c>
      <c r="F27" s="53">
        <f>mirdan!F27+Fullerton!F26</f>
        <v>0</v>
      </c>
      <c r="G27" s="32">
        <f>mirdan!G27+Fullerton!G26</f>
        <v>0</v>
      </c>
      <c r="H27" s="53">
        <f>mirdan!H27+Fullerton!H26</f>
        <v>0</v>
      </c>
      <c r="I27" s="53">
        <f>mirdan!I27+Fullerton!I26</f>
        <v>0</v>
      </c>
      <c r="J27" s="32">
        <f>mirdan!J27+Fullerton!J26</f>
        <v>0</v>
      </c>
      <c r="K27" s="53">
        <f>mirdan!K27+Fullerton!K26</f>
        <v>0</v>
      </c>
      <c r="L27" s="53">
        <f>mirdan!L27+Fullerton!L26</f>
        <v>0</v>
      </c>
      <c r="M27" s="32">
        <f t="shared" si="0"/>
        <v>0</v>
      </c>
      <c r="N27" s="71">
        <f t="shared" si="1"/>
        <v>0</v>
      </c>
      <c r="O27" s="85"/>
    </row>
    <row r="28" spans="1:15">
      <c r="A28" s="71" t="s">
        <v>21</v>
      </c>
      <c r="B28" s="32">
        <f t="shared" ref="B28:I28" si="2">SUM(B16:B27)</f>
        <v>160641</v>
      </c>
      <c r="C28" s="32">
        <f t="shared" si="2"/>
        <v>3601</v>
      </c>
      <c r="D28" s="32">
        <f t="shared" si="2"/>
        <v>71599</v>
      </c>
      <c r="E28" s="32">
        <f t="shared" si="2"/>
        <v>92643</v>
      </c>
      <c r="F28" s="32">
        <f t="shared" si="2"/>
        <v>25284</v>
      </c>
      <c r="G28" s="32">
        <f t="shared" si="2"/>
        <v>18041</v>
      </c>
      <c r="H28" s="32">
        <f t="shared" si="2"/>
        <v>39935</v>
      </c>
      <c r="I28" s="32">
        <f t="shared" si="2"/>
        <v>1436</v>
      </c>
      <c r="J28" s="32">
        <f>H28-I28-L28</f>
        <v>1670</v>
      </c>
      <c r="K28" s="32">
        <f>SUM(K16:K27)</f>
        <v>9383</v>
      </c>
      <c r="L28" s="32">
        <f>SUM(L16:L27)</f>
        <v>36829</v>
      </c>
      <c r="M28" s="32">
        <f>SUM(M16:M27)</f>
        <v>46212</v>
      </c>
      <c r="N28" s="71">
        <f t="shared" si="1"/>
        <v>0.83799999999999997</v>
      </c>
      <c r="O28" s="85"/>
    </row>
    <row r="29" spans="1:15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3">ROUND(+E28/$K$9,2)</f>
        <v>1.68</v>
      </c>
      <c r="F29" s="72">
        <f t="shared" si="3"/>
        <v>0.46</v>
      </c>
      <c r="G29" s="72">
        <f t="shared" si="3"/>
        <v>0.33</v>
      </c>
      <c r="H29" s="72">
        <f t="shared" si="3"/>
        <v>0.72</v>
      </c>
      <c r="I29" s="72">
        <f t="shared" si="3"/>
        <v>0.03</v>
      </c>
      <c r="J29" s="72">
        <f t="shared" si="3"/>
        <v>0.03</v>
      </c>
      <c r="K29" s="72">
        <f t="shared" si="3"/>
        <v>0.17</v>
      </c>
      <c r="L29" s="72">
        <f t="shared" si="3"/>
        <v>0.67</v>
      </c>
      <c r="M29" s="72">
        <f t="shared" si="3"/>
        <v>0.84</v>
      </c>
      <c r="N29" s="71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4">E28/$E$28*100</f>
        <v>100</v>
      </c>
      <c r="F30" s="39">
        <f t="shared" si="4"/>
        <v>27.291862310158351</v>
      </c>
      <c r="G30" s="39">
        <f t="shared" si="4"/>
        <v>19.473678529408588</v>
      </c>
      <c r="H30" s="39">
        <f t="shared" si="4"/>
        <v>43.106332912362511</v>
      </c>
      <c r="I30" s="39">
        <f t="shared" si="4"/>
        <v>1.5500361603143249</v>
      </c>
      <c r="J30" s="39">
        <f t="shared" si="4"/>
        <v>1.8026186544045424</v>
      </c>
      <c r="K30" s="39">
        <f t="shared" si="4"/>
        <v>10.128126248070551</v>
      </c>
      <c r="L30" s="39">
        <f t="shared" si="4"/>
        <v>39.753678097643643</v>
      </c>
      <c r="M30" s="39">
        <f t="shared" si="4"/>
        <v>49.881804345714194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 t="s">
        <v>173</v>
      </c>
      <c r="J36" s="74"/>
      <c r="K36" s="74"/>
      <c r="L36" s="74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P21" sqref="P21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8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08">
        <v>34626</v>
      </c>
      <c r="L9" s="11"/>
      <c r="M9" s="13" t="s">
        <v>77</v>
      </c>
      <c r="N9" s="109">
        <v>2020</v>
      </c>
    </row>
    <row r="10" spans="1:15" ht="18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4"/>
      <c r="N10" s="14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6" t="s">
        <v>78</v>
      </c>
      <c r="N11" s="16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26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30" t="s">
        <v>9</v>
      </c>
      <c r="B16" s="110">
        <v>0</v>
      </c>
      <c r="C16" s="204">
        <v>0</v>
      </c>
      <c r="D16" s="204">
        <v>0</v>
      </c>
      <c r="E16" s="32">
        <f t="shared" ref="E16:E27" si="0">B16+C16-D16</f>
        <v>0</v>
      </c>
      <c r="F16" s="110">
        <v>0</v>
      </c>
      <c r="G16" s="32">
        <f t="shared" ref="G16:G27" si="1">E16-F16-H16-K16</f>
        <v>0</v>
      </c>
      <c r="H16" s="110">
        <v>0</v>
      </c>
      <c r="I16" s="110">
        <v>0</v>
      </c>
      <c r="J16" s="32">
        <f t="shared" ref="J16:J27" si="2">H16-I16-L16</f>
        <v>0</v>
      </c>
      <c r="K16" s="110">
        <v>0</v>
      </c>
      <c r="L16" s="110">
        <v>0</v>
      </c>
      <c r="M16" s="33">
        <f t="shared" ref="M16:M27" si="3">SUM(K16:L16)</f>
        <v>0</v>
      </c>
      <c r="N16" s="34">
        <f t="shared" ref="N16:N27" si="4">ROUND(+M16/$K$9,3)</f>
        <v>0</v>
      </c>
      <c r="O16" s="17"/>
    </row>
    <row r="17" spans="1:15">
      <c r="A17" s="30" t="s">
        <v>10</v>
      </c>
      <c r="B17" s="110">
        <v>0</v>
      </c>
      <c r="C17" s="204">
        <v>0</v>
      </c>
      <c r="D17" s="204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3">
        <f t="shared" si="3"/>
        <v>0</v>
      </c>
      <c r="N17" s="34">
        <f t="shared" si="4"/>
        <v>0</v>
      </c>
      <c r="O17" s="17"/>
    </row>
    <row r="18" spans="1:15">
      <c r="A18" s="30" t="s">
        <v>11</v>
      </c>
      <c r="B18" s="110">
        <v>0</v>
      </c>
      <c r="C18" s="204">
        <v>0</v>
      </c>
      <c r="D18" s="204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3">
        <f t="shared" si="3"/>
        <v>0</v>
      </c>
      <c r="N18" s="34">
        <f t="shared" si="4"/>
        <v>0</v>
      </c>
      <c r="O18" s="17"/>
    </row>
    <row r="19" spans="1:15">
      <c r="A19" s="30" t="s">
        <v>12</v>
      </c>
      <c r="B19" s="110">
        <v>0</v>
      </c>
      <c r="C19" s="204">
        <v>0</v>
      </c>
      <c r="D19" s="204">
        <v>0</v>
      </c>
      <c r="E19" s="32">
        <f t="shared" si="0"/>
        <v>0</v>
      </c>
      <c r="F19" s="110">
        <v>0</v>
      </c>
      <c r="G19" s="32">
        <f t="shared" si="1"/>
        <v>0</v>
      </c>
      <c r="H19" s="110">
        <v>0</v>
      </c>
      <c r="I19" s="110">
        <v>0</v>
      </c>
      <c r="J19" s="32">
        <f t="shared" si="2"/>
        <v>0</v>
      </c>
      <c r="K19" s="110">
        <v>0</v>
      </c>
      <c r="L19" s="110">
        <v>0</v>
      </c>
      <c r="M19" s="33">
        <f t="shared" si="3"/>
        <v>0</v>
      </c>
      <c r="N19" s="34">
        <f t="shared" si="4"/>
        <v>0</v>
      </c>
      <c r="O19" s="17"/>
    </row>
    <row r="20" spans="1:15">
      <c r="A20" s="30" t="s">
        <v>13</v>
      </c>
      <c r="B20" s="110">
        <v>1702</v>
      </c>
      <c r="C20" s="204">
        <v>0</v>
      </c>
      <c r="D20" s="204">
        <v>0</v>
      </c>
      <c r="E20" s="32">
        <f t="shared" si="0"/>
        <v>1702</v>
      </c>
      <c r="F20" s="110">
        <v>122</v>
      </c>
      <c r="G20" s="32">
        <f t="shared" si="1"/>
        <v>600</v>
      </c>
      <c r="H20" s="110">
        <v>980</v>
      </c>
      <c r="I20" s="110">
        <v>350</v>
      </c>
      <c r="J20" s="32">
        <f t="shared" si="2"/>
        <v>630</v>
      </c>
      <c r="K20" s="110">
        <v>0</v>
      </c>
      <c r="L20" s="110">
        <v>0</v>
      </c>
      <c r="M20" s="33">
        <f t="shared" si="3"/>
        <v>0</v>
      </c>
      <c r="N20" s="34">
        <f t="shared" si="4"/>
        <v>0</v>
      </c>
      <c r="O20" s="17"/>
    </row>
    <row r="21" spans="1:15">
      <c r="A21" s="30" t="s">
        <v>14</v>
      </c>
      <c r="B21" s="110">
        <v>7840</v>
      </c>
      <c r="C21" s="204">
        <v>0</v>
      </c>
      <c r="D21" s="204">
        <v>0</v>
      </c>
      <c r="E21" s="32">
        <f t="shared" si="0"/>
        <v>7840</v>
      </c>
      <c r="F21" s="110">
        <v>492</v>
      </c>
      <c r="G21" s="32">
        <f t="shared" si="1"/>
        <v>1148</v>
      </c>
      <c r="H21" s="110">
        <v>6200</v>
      </c>
      <c r="I21" s="110">
        <v>1860</v>
      </c>
      <c r="J21" s="32">
        <f t="shared" si="2"/>
        <v>3528</v>
      </c>
      <c r="K21" s="110">
        <v>0</v>
      </c>
      <c r="L21" s="110">
        <v>812</v>
      </c>
      <c r="M21" s="33">
        <f t="shared" si="3"/>
        <v>812</v>
      </c>
      <c r="N21" s="34">
        <f t="shared" si="4"/>
        <v>2.3E-2</v>
      </c>
      <c r="O21" s="17"/>
    </row>
    <row r="22" spans="1:15">
      <c r="A22" s="30" t="s">
        <v>15</v>
      </c>
      <c r="B22" s="110">
        <v>18516</v>
      </c>
      <c r="C22" s="204">
        <v>0</v>
      </c>
      <c r="D22" s="204">
        <v>0</v>
      </c>
      <c r="E22" s="32">
        <f t="shared" si="0"/>
        <v>18516</v>
      </c>
      <c r="F22" s="110">
        <v>300</v>
      </c>
      <c r="G22" s="32">
        <f t="shared" si="1"/>
        <v>560</v>
      </c>
      <c r="H22" s="110">
        <v>17656</v>
      </c>
      <c r="I22" s="110">
        <v>1606</v>
      </c>
      <c r="J22" s="32">
        <f t="shared" si="2"/>
        <v>7761</v>
      </c>
      <c r="K22" s="110">
        <v>0</v>
      </c>
      <c r="L22" s="110">
        <v>8289</v>
      </c>
      <c r="M22" s="33">
        <f t="shared" si="3"/>
        <v>8289</v>
      </c>
      <c r="N22" s="34">
        <f t="shared" si="4"/>
        <v>0.23899999999999999</v>
      </c>
      <c r="O22" s="17"/>
    </row>
    <row r="23" spans="1:15">
      <c r="A23" s="30" t="s">
        <v>16</v>
      </c>
      <c r="B23" s="110">
        <v>29226</v>
      </c>
      <c r="C23" s="204">
        <v>0</v>
      </c>
      <c r="D23" s="204">
        <v>0</v>
      </c>
      <c r="E23" s="32">
        <f t="shared" si="0"/>
        <v>29226</v>
      </c>
      <c r="F23" s="110">
        <v>300</v>
      </c>
      <c r="G23" s="32">
        <f t="shared" si="1"/>
        <v>255</v>
      </c>
      <c r="H23" s="110">
        <v>28671</v>
      </c>
      <c r="I23" s="110">
        <v>3102</v>
      </c>
      <c r="J23" s="32">
        <f t="shared" si="2"/>
        <v>7238</v>
      </c>
      <c r="K23" s="110">
        <v>0</v>
      </c>
      <c r="L23" s="110">
        <v>18331</v>
      </c>
      <c r="M23" s="33">
        <f t="shared" si="3"/>
        <v>18331</v>
      </c>
      <c r="N23" s="34">
        <f t="shared" si="4"/>
        <v>0.52900000000000003</v>
      </c>
      <c r="O23" s="17"/>
    </row>
    <row r="24" spans="1:15">
      <c r="A24" s="30" t="s">
        <v>17</v>
      </c>
      <c r="B24" s="110">
        <v>10435</v>
      </c>
      <c r="C24" s="204">
        <v>0</v>
      </c>
      <c r="D24" s="204">
        <v>0</v>
      </c>
      <c r="E24" s="32">
        <f t="shared" si="0"/>
        <v>10435</v>
      </c>
      <c r="F24" s="110">
        <v>125</v>
      </c>
      <c r="G24" s="32">
        <f t="shared" si="1"/>
        <v>200</v>
      </c>
      <c r="H24" s="110">
        <v>10110</v>
      </c>
      <c r="I24" s="110">
        <v>1210</v>
      </c>
      <c r="J24" s="32">
        <f t="shared" si="2"/>
        <v>2823</v>
      </c>
      <c r="K24" s="110">
        <v>0</v>
      </c>
      <c r="L24" s="110">
        <v>6077</v>
      </c>
      <c r="M24" s="33">
        <f t="shared" si="3"/>
        <v>6077</v>
      </c>
      <c r="N24" s="34">
        <f t="shared" si="4"/>
        <v>0.17599999999999999</v>
      </c>
      <c r="O24" s="17"/>
    </row>
    <row r="25" spans="1:15">
      <c r="A25" s="30" t="s">
        <v>18</v>
      </c>
      <c r="B25" s="110">
        <v>0</v>
      </c>
      <c r="C25" s="204">
        <v>0</v>
      </c>
      <c r="D25" s="204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3">
        <f t="shared" si="3"/>
        <v>0</v>
      </c>
      <c r="N25" s="34">
        <f t="shared" si="4"/>
        <v>0</v>
      </c>
      <c r="O25" s="17"/>
    </row>
    <row r="26" spans="1:15">
      <c r="A26" s="30" t="s">
        <v>19</v>
      </c>
      <c r="B26" s="110">
        <v>0</v>
      </c>
      <c r="C26" s="204">
        <v>0</v>
      </c>
      <c r="D26" s="204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3">
        <f t="shared" si="3"/>
        <v>0</v>
      </c>
      <c r="N26" s="34">
        <f t="shared" si="4"/>
        <v>0</v>
      </c>
      <c r="O26" s="17"/>
    </row>
    <row r="27" spans="1:15">
      <c r="A27" s="30" t="s">
        <v>20</v>
      </c>
      <c r="B27" s="110">
        <v>0</v>
      </c>
      <c r="C27" s="204">
        <v>0</v>
      </c>
      <c r="D27" s="204">
        <v>0</v>
      </c>
      <c r="E27" s="32">
        <f t="shared" si="0"/>
        <v>0</v>
      </c>
      <c r="F27" s="110">
        <v>0</v>
      </c>
      <c r="G27" s="32">
        <f t="shared" si="1"/>
        <v>0</v>
      </c>
      <c r="H27" s="110">
        <v>0</v>
      </c>
      <c r="I27" s="110">
        <v>0</v>
      </c>
      <c r="J27" s="32">
        <f t="shared" si="2"/>
        <v>0</v>
      </c>
      <c r="K27" s="110">
        <v>0</v>
      </c>
      <c r="L27" s="110">
        <v>0</v>
      </c>
      <c r="M27" s="33">
        <f t="shared" si="3"/>
        <v>0</v>
      </c>
      <c r="N27" s="34">
        <f t="shared" si="4"/>
        <v>0</v>
      </c>
      <c r="O27" s="17"/>
    </row>
    <row r="28" spans="1:15" ht="15.75" thickBot="1">
      <c r="A28" s="30" t="s">
        <v>21</v>
      </c>
      <c r="B28" s="111">
        <f t="shared" ref="B28:N28" si="5">SUM(B16:B27)</f>
        <v>67719</v>
      </c>
      <c r="C28" s="209">
        <f t="shared" si="5"/>
        <v>0</v>
      </c>
      <c r="D28" s="209">
        <f t="shared" si="5"/>
        <v>0</v>
      </c>
      <c r="E28" s="32">
        <f t="shared" si="5"/>
        <v>67719</v>
      </c>
      <c r="F28" s="112">
        <f t="shared" si="5"/>
        <v>1339</v>
      </c>
      <c r="G28" s="32">
        <f t="shared" si="5"/>
        <v>2763</v>
      </c>
      <c r="H28" s="111">
        <f t="shared" si="5"/>
        <v>63617</v>
      </c>
      <c r="I28" s="111">
        <f t="shared" si="5"/>
        <v>8128</v>
      </c>
      <c r="J28" s="32">
        <f t="shared" si="5"/>
        <v>21980</v>
      </c>
      <c r="K28" s="111">
        <f t="shared" si="5"/>
        <v>0</v>
      </c>
      <c r="L28" s="111">
        <f t="shared" si="5"/>
        <v>33509</v>
      </c>
      <c r="M28" s="33">
        <f t="shared" si="5"/>
        <v>33509</v>
      </c>
      <c r="N28" s="35">
        <f t="shared" si="5"/>
        <v>0.96700000000000008</v>
      </c>
      <c r="O28" s="17"/>
    </row>
    <row r="29" spans="1:15" ht="15.75" thickTop="1">
      <c r="A29" s="15" t="s">
        <v>22</v>
      </c>
      <c r="B29" s="36" t="s">
        <v>0</v>
      </c>
      <c r="C29" s="36" t="s">
        <v>0</v>
      </c>
      <c r="D29" s="36" t="s">
        <v>0</v>
      </c>
      <c r="E29" s="36">
        <f>ROUND(+E28/$K$9,2)</f>
        <v>1.96</v>
      </c>
      <c r="F29" s="36">
        <f>ROUND(+F28/$K$9,2)</f>
        <v>0.04</v>
      </c>
      <c r="G29" s="36">
        <f>ROUND(E29-F29-H29-K29,2)</f>
        <v>0.08</v>
      </c>
      <c r="H29" s="36">
        <f>ROUND(+H28/$K$9,2)</f>
        <v>1.84</v>
      </c>
      <c r="I29" s="36">
        <f>ROUND(+I28/$K$9,2)</f>
        <v>0.23</v>
      </c>
      <c r="J29" s="36">
        <f>ROUND(H29-I29-L29,2)</f>
        <v>0.64</v>
      </c>
      <c r="K29" s="36">
        <f>M29-L29</f>
        <v>0</v>
      </c>
      <c r="L29" s="36">
        <f>ROUND(+L28/$K$9,2)</f>
        <v>0.97</v>
      </c>
      <c r="M29" s="37">
        <f>ROUND(+M28/$K$9,2)</f>
        <v>0.97</v>
      </c>
      <c r="N29" s="38"/>
      <c r="O29" s="17"/>
    </row>
    <row r="30" spans="1:15">
      <c r="A30" s="30" t="s">
        <v>23</v>
      </c>
      <c r="B30" s="39" t="s">
        <v>0</v>
      </c>
      <c r="C30" s="39" t="s">
        <v>0</v>
      </c>
      <c r="D30" s="39" t="s">
        <v>0</v>
      </c>
      <c r="E30" s="39">
        <f>ROUND(E28/$E$28*100,1)</f>
        <v>100</v>
      </c>
      <c r="F30" s="39">
        <f>ROUND(+F28/$E$28*100,1)</f>
        <v>2</v>
      </c>
      <c r="G30" s="39">
        <f>ROUND(E30-F30-H30-K30,1)</f>
        <v>4.0999999999999996</v>
      </c>
      <c r="H30" s="39">
        <f>ROUND(+H28/$E$28*100,1)</f>
        <v>93.9</v>
      </c>
      <c r="I30" s="39">
        <f>ROUND(+I28/$E$28*100,1)</f>
        <v>12</v>
      </c>
      <c r="J30" s="39">
        <f>ROUND(H30-I30-L30,1)</f>
        <v>32.4</v>
      </c>
      <c r="K30" s="39">
        <f>ROUND(M30-L30,1)</f>
        <v>0</v>
      </c>
      <c r="L30" s="39">
        <f>ROUND(+L28/$E$28*100,1)</f>
        <v>49.5</v>
      </c>
      <c r="M30" s="40">
        <f>ROUND(+M28/$E$28*100,1)</f>
        <v>49.5</v>
      </c>
      <c r="N30" s="34"/>
      <c r="O30" s="17"/>
    </row>
    <row r="31" spans="1:15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19" t="s">
        <v>66</v>
      </c>
      <c r="J31" s="41"/>
      <c r="K31" s="41"/>
      <c r="L31" s="41"/>
      <c r="M31" s="42"/>
      <c r="N31" s="42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</row>
    <row r="35" spans="1:15">
      <c r="A35" s="43" t="s">
        <v>0</v>
      </c>
      <c r="B35" s="3"/>
      <c r="C35" s="3"/>
      <c r="D35" s="3"/>
      <c r="E35" s="3"/>
      <c r="F35" s="3"/>
      <c r="G35" s="3"/>
      <c r="H35" s="3"/>
      <c r="I35" s="3"/>
      <c r="J35" s="24"/>
      <c r="K35" s="3"/>
      <c r="L35" s="3"/>
      <c r="M35" s="44"/>
      <c r="N35" s="44"/>
      <c r="O35" s="44"/>
    </row>
    <row r="36" spans="1:15">
      <c r="A36" s="3"/>
      <c r="B36" s="3"/>
      <c r="C36" s="3" t="s">
        <v>0</v>
      </c>
      <c r="D36" s="3" t="s">
        <v>0</v>
      </c>
      <c r="E36" s="45" t="s">
        <v>0</v>
      </c>
      <c r="F36" s="3"/>
      <c r="G36" s="3"/>
      <c r="H36" s="3"/>
      <c r="I36" s="3"/>
      <c r="J36" s="3"/>
      <c r="K36" s="3"/>
      <c r="L36" s="3"/>
    </row>
    <row r="37" spans="1:15">
      <c r="C37" s="46" t="s">
        <v>0</v>
      </c>
      <c r="D37" s="46" t="s">
        <v>0</v>
      </c>
      <c r="E37" s="47" t="s">
        <v>0</v>
      </c>
    </row>
    <row r="38" spans="1:15">
      <c r="C38" s="46" t="s">
        <v>0</v>
      </c>
      <c r="D38" s="46" t="s">
        <v>0</v>
      </c>
      <c r="E38" s="4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U32" sqref="U32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 t="s">
        <v>0</v>
      </c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164</v>
      </c>
      <c r="C8" s="74"/>
      <c r="D8" s="74"/>
      <c r="E8" s="74"/>
      <c r="F8" s="74"/>
      <c r="G8" s="82" t="s">
        <v>56</v>
      </c>
      <c r="H8" s="74"/>
      <c r="I8" s="74" t="s">
        <v>167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165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9340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166</v>
      </c>
      <c r="C10" s="84"/>
      <c r="D10" s="84"/>
      <c r="E10" s="84"/>
      <c r="F10" s="84"/>
      <c r="G10" s="83" t="s">
        <v>58</v>
      </c>
      <c r="H10" s="84"/>
      <c r="I10" s="84"/>
      <c r="J10" s="84"/>
      <c r="K10" s="91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3550</v>
      </c>
      <c r="C21" s="111">
        <v>0</v>
      </c>
      <c r="D21" s="111">
        <v>0</v>
      </c>
      <c r="E21" s="32">
        <f t="shared" si="0"/>
        <v>3550</v>
      </c>
      <c r="F21" s="111">
        <v>0</v>
      </c>
      <c r="G21" s="32">
        <f t="shared" si="1"/>
        <v>1142</v>
      </c>
      <c r="H21" s="111">
        <v>2375</v>
      </c>
      <c r="I21" s="111">
        <v>153</v>
      </c>
      <c r="J21" s="32">
        <f t="shared" si="2"/>
        <v>918</v>
      </c>
      <c r="K21" s="111">
        <v>33</v>
      </c>
      <c r="L21" s="111">
        <v>1304</v>
      </c>
      <c r="M21" s="32">
        <f t="shared" si="3"/>
        <v>1337</v>
      </c>
      <c r="N21" s="71">
        <f t="shared" si="4"/>
        <v>0.14299999999999999</v>
      </c>
      <c r="O21" s="85"/>
    </row>
    <row r="22" spans="1:15">
      <c r="A22" s="71" t="s">
        <v>15</v>
      </c>
      <c r="B22" s="111">
        <v>7759</v>
      </c>
      <c r="C22" s="111">
        <v>0</v>
      </c>
      <c r="D22" s="111">
        <v>0</v>
      </c>
      <c r="E22" s="32">
        <f t="shared" si="0"/>
        <v>7759</v>
      </c>
      <c r="F22" s="213">
        <v>0</v>
      </c>
      <c r="G22" s="32">
        <f t="shared" si="1"/>
        <v>1403</v>
      </c>
      <c r="H22" s="214">
        <v>6285</v>
      </c>
      <c r="I22" s="215">
        <v>248</v>
      </c>
      <c r="J22" s="32">
        <f t="shared" si="2"/>
        <v>2023</v>
      </c>
      <c r="K22" s="216">
        <v>71</v>
      </c>
      <c r="L22" s="217">
        <v>4014</v>
      </c>
      <c r="M22" s="32">
        <f t="shared" si="3"/>
        <v>4085</v>
      </c>
      <c r="N22" s="71">
        <f t="shared" si="4"/>
        <v>0.437</v>
      </c>
      <c r="O22" s="85"/>
    </row>
    <row r="23" spans="1:15">
      <c r="A23" s="71" t="s">
        <v>16</v>
      </c>
      <c r="B23" s="111">
        <v>6190</v>
      </c>
      <c r="C23" s="111">
        <v>0</v>
      </c>
      <c r="D23" s="111">
        <v>0</v>
      </c>
      <c r="E23" s="32">
        <f t="shared" si="0"/>
        <v>6190</v>
      </c>
      <c r="F23" s="213">
        <v>0</v>
      </c>
      <c r="G23" s="32">
        <f t="shared" si="1"/>
        <v>823</v>
      </c>
      <c r="H23" s="214">
        <v>5262</v>
      </c>
      <c r="I23" s="215">
        <v>181</v>
      </c>
      <c r="J23" s="32">
        <f t="shared" si="2"/>
        <v>1713</v>
      </c>
      <c r="K23" s="216">
        <v>105</v>
      </c>
      <c r="L23" s="217">
        <v>3368</v>
      </c>
      <c r="M23" s="32">
        <f t="shared" si="3"/>
        <v>3473</v>
      </c>
      <c r="N23" s="71">
        <f t="shared" si="4"/>
        <v>0.372</v>
      </c>
      <c r="O23" s="85"/>
    </row>
    <row r="24" spans="1:15">
      <c r="A24" s="71" t="s">
        <v>17</v>
      </c>
      <c r="B24" s="111">
        <v>0</v>
      </c>
      <c r="C24" s="111">
        <v>0</v>
      </c>
      <c r="D24" s="111">
        <v>0</v>
      </c>
      <c r="E24" s="32">
        <f t="shared" si="0"/>
        <v>0</v>
      </c>
      <c r="F24" s="213">
        <v>0</v>
      </c>
      <c r="G24" s="32">
        <f t="shared" si="1"/>
        <v>0</v>
      </c>
      <c r="H24" s="214">
        <v>0</v>
      </c>
      <c r="I24" s="215">
        <v>0</v>
      </c>
      <c r="J24" s="32">
        <f t="shared" si="2"/>
        <v>0</v>
      </c>
      <c r="K24" s="216">
        <v>0</v>
      </c>
      <c r="L24" s="217">
        <v>0</v>
      </c>
      <c r="M24" s="32">
        <f t="shared" si="3"/>
        <v>0</v>
      </c>
      <c r="N24" s="71">
        <f t="shared" si="4"/>
        <v>0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7">
        <f>SUM(B16:B27)</f>
        <v>17499</v>
      </c>
      <c r="C28" s="177">
        <f>SUM(C16:C27)</f>
        <v>0</v>
      </c>
      <c r="D28" s="177">
        <f>SUM(D16:D27)</f>
        <v>0</v>
      </c>
      <c r="E28" s="177">
        <f>SUM(E16:E27)</f>
        <v>17499</v>
      </c>
      <c r="F28" s="177">
        <f>SUM(F16:F27)</f>
        <v>0</v>
      </c>
      <c r="G28" s="177">
        <f t="shared" si="1"/>
        <v>3368</v>
      </c>
      <c r="H28" s="177">
        <f>SUM(H16:H27)</f>
        <v>13922</v>
      </c>
      <c r="I28" s="177">
        <f>SUM(I16:I27)</f>
        <v>582</v>
      </c>
      <c r="J28" s="177">
        <f t="shared" si="2"/>
        <v>4654</v>
      </c>
      <c r="K28" s="177">
        <f>SUM(K16:K27)</f>
        <v>209</v>
      </c>
      <c r="L28" s="177">
        <f>SUM(L16:L27)</f>
        <v>8686</v>
      </c>
      <c r="M28" s="177">
        <f>SUM(M16:M27)</f>
        <v>8895</v>
      </c>
      <c r="N28" s="178">
        <f t="shared" si="4"/>
        <v>0.95199999999999996</v>
      </c>
      <c r="O28" s="85"/>
    </row>
    <row r="29" spans="1:15" ht="15.75" thickTop="1">
      <c r="A29" s="72" t="s">
        <v>110</v>
      </c>
      <c r="B29" s="88" t="s">
        <v>0</v>
      </c>
      <c r="C29" s="88" t="s">
        <v>0</v>
      </c>
      <c r="D29" s="88" t="s">
        <v>0</v>
      </c>
      <c r="E29" s="88">
        <f t="shared" ref="E29:M29" si="5">ROUND(+E28/$K$9,2)</f>
        <v>1.87</v>
      </c>
      <c r="F29" s="88">
        <f t="shared" si="5"/>
        <v>0</v>
      </c>
      <c r="G29" s="88">
        <f t="shared" si="5"/>
        <v>0.36</v>
      </c>
      <c r="H29" s="88">
        <f t="shared" si="5"/>
        <v>1.49</v>
      </c>
      <c r="I29" s="88">
        <f t="shared" si="5"/>
        <v>0.06</v>
      </c>
      <c r="J29" s="88">
        <f t="shared" si="5"/>
        <v>0.5</v>
      </c>
      <c r="K29" s="88">
        <f t="shared" si="5"/>
        <v>0.02</v>
      </c>
      <c r="L29" s="88">
        <f t="shared" si="5"/>
        <v>0.93</v>
      </c>
      <c r="M29" s="88">
        <f t="shared" si="5"/>
        <v>0.95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71">
        <f t="shared" si="6"/>
        <v>0</v>
      </c>
      <c r="G30" s="39">
        <f t="shared" si="6"/>
        <v>19.246814103663066</v>
      </c>
      <c r="H30" s="39">
        <f t="shared" si="6"/>
        <v>79.55883193325333</v>
      </c>
      <c r="I30" s="39">
        <f t="shared" si="6"/>
        <v>3.3259043373907082</v>
      </c>
      <c r="J30" s="39">
        <f t="shared" si="6"/>
        <v>26.595805474598549</v>
      </c>
      <c r="K30" s="39">
        <f t="shared" si="6"/>
        <v>1.1943539630836049</v>
      </c>
      <c r="L30" s="39">
        <f t="shared" si="6"/>
        <v>49.637122121264071</v>
      </c>
      <c r="M30" s="39">
        <f t="shared" si="6"/>
        <v>50.831476084347685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/>
      <c r="J36" s="74"/>
      <c r="K36" s="74"/>
      <c r="L36" s="74"/>
      <c r="M36" s="74"/>
      <c r="N36" s="74"/>
      <c r="O36" s="77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"/>
  <sheetViews>
    <sheetView showOutlineSymbols="0" zoomScale="87" zoomScaleNormal="87" workbookViewId="0">
      <selection activeCell="T23" sqref="T23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1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8">
      <c r="A7" s="8" t="s">
        <v>4</v>
      </c>
      <c r="B7" s="135" t="s">
        <v>184</v>
      </c>
      <c r="C7" s="2"/>
      <c r="D7" s="2"/>
      <c r="E7" s="135" t="s">
        <v>0</v>
      </c>
      <c r="F7" s="2"/>
      <c r="G7" s="8" t="s">
        <v>56</v>
      </c>
      <c r="H7" s="2"/>
      <c r="I7" s="2" t="s">
        <v>103</v>
      </c>
      <c r="J7" s="2"/>
      <c r="K7" s="2"/>
      <c r="L7" s="2"/>
      <c r="M7" s="2"/>
      <c r="N7" s="2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52" t="s">
        <v>0</v>
      </c>
      <c r="L8" s="11"/>
      <c r="M8" s="10" t="s">
        <v>77</v>
      </c>
      <c r="N8" s="120">
        <v>2020</v>
      </c>
    </row>
    <row r="9" spans="1:15" ht="18">
      <c r="A9" s="10" t="s">
        <v>6</v>
      </c>
      <c r="B9" s="11" t="s">
        <v>102</v>
      </c>
      <c r="C9" s="11"/>
      <c r="D9" s="11"/>
      <c r="E9" s="11"/>
      <c r="F9" s="11"/>
      <c r="G9" s="10" t="s">
        <v>58</v>
      </c>
      <c r="H9" s="11"/>
      <c r="I9" s="11"/>
      <c r="J9" s="11"/>
      <c r="K9" s="11"/>
      <c r="L9" s="11"/>
      <c r="M9" s="11"/>
      <c r="N9" s="11"/>
    </row>
    <row r="10" spans="1:15">
      <c r="A10" s="15" t="s">
        <v>7</v>
      </c>
      <c r="B10" s="15" t="s">
        <v>28</v>
      </c>
      <c r="C10" s="15" t="s">
        <v>37</v>
      </c>
      <c r="D10" s="15" t="s">
        <v>42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>
      <c r="A11" s="15"/>
      <c r="B11" s="18" t="s">
        <v>29</v>
      </c>
      <c r="C11" s="18" t="s">
        <v>38</v>
      </c>
      <c r="D11" s="18" t="s">
        <v>43</v>
      </c>
      <c r="E11" s="15"/>
      <c r="F11" s="15"/>
      <c r="G11" s="15"/>
      <c r="H11" s="15"/>
      <c r="I11" s="15"/>
      <c r="J11" s="15"/>
      <c r="K11" s="18" t="s">
        <v>72</v>
      </c>
      <c r="L11" s="19"/>
      <c r="M11" s="19"/>
      <c r="N11" s="18"/>
      <c r="O11" s="17"/>
    </row>
    <row r="12" spans="1:15">
      <c r="A12" s="23" t="s">
        <v>8</v>
      </c>
      <c r="B12" s="23" t="s">
        <v>30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30"/>
      <c r="L12" s="30"/>
      <c r="M12" s="30"/>
      <c r="N12" s="49" t="s">
        <v>85</v>
      </c>
      <c r="O12" s="17"/>
    </row>
    <row r="13" spans="1:15">
      <c r="A13" s="23"/>
      <c r="B13" s="23" t="s">
        <v>104</v>
      </c>
      <c r="C13" s="23" t="s">
        <v>106</v>
      </c>
      <c r="D13" s="23" t="s">
        <v>108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3" t="s">
        <v>73</v>
      </c>
      <c r="L13" s="23" t="s">
        <v>30</v>
      </c>
      <c r="M13" s="23"/>
      <c r="N13" s="23" t="s">
        <v>80</v>
      </c>
      <c r="O13" s="17"/>
    </row>
    <row r="14" spans="1:15">
      <c r="A14" s="22"/>
      <c r="B14" s="23" t="s">
        <v>105</v>
      </c>
      <c r="C14" s="23" t="s">
        <v>107</v>
      </c>
      <c r="D14" s="23" t="s">
        <v>109</v>
      </c>
      <c r="E14" s="22"/>
      <c r="F14" s="23" t="s">
        <v>55</v>
      </c>
      <c r="G14" s="23" t="s">
        <v>60</v>
      </c>
      <c r="H14" s="23" t="s">
        <v>62</v>
      </c>
      <c r="I14" s="22"/>
      <c r="J14" s="22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21" spans="1:14" ht="23.25">
      <c r="A21" s="59" t="s">
        <v>188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7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162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10959</v>
      </c>
      <c r="L9" s="198" t="s">
        <v>0</v>
      </c>
      <c r="M9" s="93" t="s">
        <v>77</v>
      </c>
      <c r="N9" s="126">
        <v>2020</v>
      </c>
    </row>
    <row r="10" spans="1:15" ht="18.75" thickBot="1">
      <c r="A10" s="83" t="s">
        <v>6</v>
      </c>
      <c r="B10" s="176" t="s">
        <v>163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189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190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191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3273</v>
      </c>
      <c r="C21" s="141">
        <v>0</v>
      </c>
      <c r="D21" s="141">
        <v>106</v>
      </c>
      <c r="E21" s="142">
        <f t="shared" si="0"/>
        <v>3167</v>
      </c>
      <c r="F21" s="110">
        <v>0</v>
      </c>
      <c r="G21" s="142">
        <f t="shared" si="1"/>
        <v>2555</v>
      </c>
      <c r="H21" s="155">
        <f t="shared" si="2"/>
        <v>344</v>
      </c>
      <c r="I21" s="110">
        <v>0</v>
      </c>
      <c r="J21" s="142">
        <f t="shared" si="3"/>
        <v>0</v>
      </c>
      <c r="K21" s="110">
        <v>268</v>
      </c>
      <c r="L21" s="110">
        <v>344</v>
      </c>
      <c r="M21" s="156">
        <f t="shared" si="4"/>
        <v>612</v>
      </c>
      <c r="N21" s="157">
        <f t="shared" si="5"/>
        <v>5.6000000000000001E-2</v>
      </c>
      <c r="O21" s="17"/>
    </row>
    <row r="22" spans="1:15">
      <c r="A22" s="140" t="s">
        <v>15</v>
      </c>
      <c r="B22" s="110">
        <v>7212</v>
      </c>
      <c r="C22" s="141">
        <v>0</v>
      </c>
      <c r="D22" s="141">
        <v>596</v>
      </c>
      <c r="E22" s="142">
        <f t="shared" si="0"/>
        <v>6616</v>
      </c>
      <c r="F22" s="110">
        <v>0</v>
      </c>
      <c r="G22" s="142">
        <f t="shared" si="1"/>
        <v>3462</v>
      </c>
      <c r="H22" s="155">
        <f t="shared" si="2"/>
        <v>1739</v>
      </c>
      <c r="I22" s="110">
        <v>0</v>
      </c>
      <c r="J22" s="142">
        <f t="shared" si="3"/>
        <v>0</v>
      </c>
      <c r="K22" s="110">
        <v>1415</v>
      </c>
      <c r="L22" s="110">
        <v>1739</v>
      </c>
      <c r="M22" s="156">
        <f t="shared" si="4"/>
        <v>3154</v>
      </c>
      <c r="N22" s="157">
        <f t="shared" si="5"/>
        <v>0.28799999999999998</v>
      </c>
      <c r="O22" s="17"/>
    </row>
    <row r="23" spans="1:15">
      <c r="A23" s="140" t="s">
        <v>16</v>
      </c>
      <c r="B23" s="110">
        <v>7291</v>
      </c>
      <c r="C23" s="141">
        <v>0</v>
      </c>
      <c r="D23" s="141">
        <v>866</v>
      </c>
      <c r="E23" s="142">
        <f t="shared" si="0"/>
        <v>6425</v>
      </c>
      <c r="F23" s="110">
        <v>0</v>
      </c>
      <c r="G23" s="142">
        <f t="shared" si="1"/>
        <v>3695</v>
      </c>
      <c r="H23" s="155">
        <f t="shared" si="2"/>
        <v>1436</v>
      </c>
      <c r="I23" s="110">
        <v>0</v>
      </c>
      <c r="J23" s="142">
        <f t="shared" si="3"/>
        <v>0</v>
      </c>
      <c r="K23" s="110">
        <v>1294</v>
      </c>
      <c r="L23" s="110">
        <v>1436</v>
      </c>
      <c r="M23" s="156">
        <f t="shared" si="4"/>
        <v>2730</v>
      </c>
      <c r="N23" s="157">
        <f t="shared" si="5"/>
        <v>0.249</v>
      </c>
      <c r="O23" s="17"/>
    </row>
    <row r="24" spans="1:15">
      <c r="A24" s="140" t="s">
        <v>17</v>
      </c>
      <c r="B24" s="110">
        <v>1622</v>
      </c>
      <c r="C24" s="141">
        <v>0</v>
      </c>
      <c r="D24" s="141">
        <v>249</v>
      </c>
      <c r="E24" s="142">
        <f t="shared" si="0"/>
        <v>1373</v>
      </c>
      <c r="F24" s="110">
        <v>0</v>
      </c>
      <c r="G24" s="142">
        <f t="shared" si="1"/>
        <v>406</v>
      </c>
      <c r="H24" s="155">
        <f t="shared" si="2"/>
        <v>576</v>
      </c>
      <c r="I24" s="110">
        <v>0</v>
      </c>
      <c r="J24" s="142">
        <f t="shared" si="3"/>
        <v>0</v>
      </c>
      <c r="K24" s="110">
        <v>391</v>
      </c>
      <c r="L24" s="110">
        <v>576</v>
      </c>
      <c r="M24" s="156">
        <f t="shared" si="4"/>
        <v>967</v>
      </c>
      <c r="N24" s="157">
        <f t="shared" si="5"/>
        <v>8.7999999999999995E-2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19398</v>
      </c>
      <c r="C28" s="158">
        <f>SUM(C16:C27)</f>
        <v>0</v>
      </c>
      <c r="D28" s="158">
        <f>SUM(D16:D27)</f>
        <v>1817</v>
      </c>
      <c r="E28" s="158">
        <f>SUM(E16:E27)</f>
        <v>17581</v>
      </c>
      <c r="F28" s="158">
        <f>SUM(F16:F27)</f>
        <v>0</v>
      </c>
      <c r="G28" s="158">
        <f t="shared" si="1"/>
        <v>10118</v>
      </c>
      <c r="H28" s="158">
        <f>SUM(H16:H27)</f>
        <v>4095</v>
      </c>
      <c r="I28" s="158">
        <f>SUM(I16:I27)</f>
        <v>0</v>
      </c>
      <c r="J28" s="158">
        <f t="shared" si="3"/>
        <v>0</v>
      </c>
      <c r="K28" s="158">
        <f>SUM(K16:K27)</f>
        <v>3368</v>
      </c>
      <c r="L28" s="158">
        <f>SUM(L16:L27)</f>
        <v>4095</v>
      </c>
      <c r="M28" s="159">
        <f>SUM(M16:M27)</f>
        <v>7463</v>
      </c>
      <c r="N28" s="160">
        <f t="shared" si="5"/>
        <v>0.68100000000000005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</v>
      </c>
      <c r="F29" s="161">
        <f t="shared" si="6"/>
        <v>0</v>
      </c>
      <c r="G29" s="161">
        <f t="shared" si="6"/>
        <v>0.92</v>
      </c>
      <c r="H29" s="161">
        <f t="shared" si="6"/>
        <v>0.37</v>
      </c>
      <c r="I29" s="161">
        <f t="shared" si="6"/>
        <v>0</v>
      </c>
      <c r="J29" s="161">
        <f t="shared" si="6"/>
        <v>0</v>
      </c>
      <c r="K29" s="161">
        <f t="shared" si="6"/>
        <v>0.31</v>
      </c>
      <c r="L29" s="161">
        <f t="shared" si="6"/>
        <v>0.37</v>
      </c>
      <c r="M29" s="162">
        <f t="shared" si="6"/>
        <v>0.68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57.550765030430583</v>
      </c>
      <c r="H30" s="145">
        <f t="shared" si="7"/>
        <v>23.292190432853648</v>
      </c>
      <c r="I30" s="145">
        <f t="shared" si="7"/>
        <v>0</v>
      </c>
      <c r="J30" s="145">
        <f t="shared" si="7"/>
        <v>0</v>
      </c>
      <c r="K30" s="145">
        <f t="shared" si="7"/>
        <v>19.157044536715773</v>
      </c>
      <c r="L30" s="145">
        <f t="shared" si="7"/>
        <v>23.292190432853648</v>
      </c>
      <c r="M30" s="165">
        <f t="shared" si="7"/>
        <v>42.449234969569424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8"/>
  <sheetViews>
    <sheetView showOutlineSymbols="0" topLeftCell="A2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86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4489</v>
      </c>
      <c r="L9" s="84"/>
      <c r="M9" s="93" t="s">
        <v>77</v>
      </c>
      <c r="N9" s="126">
        <v>2020</v>
      </c>
    </row>
    <row r="10" spans="1:15" ht="18.75" thickBot="1">
      <c r="A10" s="83" t="s">
        <v>6</v>
      </c>
      <c r="B10" s="176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204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2050</v>
      </c>
      <c r="C20" s="204">
        <v>0</v>
      </c>
      <c r="D20" s="141">
        <v>0</v>
      </c>
      <c r="E20" s="142">
        <f t="shared" si="0"/>
        <v>2050</v>
      </c>
      <c r="F20" s="110">
        <v>249</v>
      </c>
      <c r="G20" s="142">
        <f t="shared" si="1"/>
        <v>1781</v>
      </c>
      <c r="H20" s="155">
        <f t="shared" si="2"/>
        <v>12</v>
      </c>
      <c r="I20" s="110">
        <v>0</v>
      </c>
      <c r="J20" s="142">
        <f t="shared" si="3"/>
        <v>0</v>
      </c>
      <c r="K20" s="110">
        <v>8</v>
      </c>
      <c r="L20" s="110">
        <v>12</v>
      </c>
      <c r="M20" s="156">
        <f t="shared" si="4"/>
        <v>20</v>
      </c>
      <c r="N20" s="157">
        <f t="shared" si="5"/>
        <v>4.0000000000000001E-3</v>
      </c>
      <c r="O20" s="17"/>
    </row>
    <row r="21" spans="1:15">
      <c r="A21" s="140" t="s">
        <v>14</v>
      </c>
      <c r="B21" s="110">
        <v>1751</v>
      </c>
      <c r="C21" s="204">
        <v>103</v>
      </c>
      <c r="D21" s="141">
        <v>0</v>
      </c>
      <c r="E21" s="142">
        <f t="shared" si="0"/>
        <v>1854</v>
      </c>
      <c r="F21" s="110">
        <v>612</v>
      </c>
      <c r="G21" s="142">
        <f t="shared" si="1"/>
        <v>958</v>
      </c>
      <c r="H21" s="155">
        <f t="shared" si="2"/>
        <v>159</v>
      </c>
      <c r="I21" s="110">
        <v>0</v>
      </c>
      <c r="J21" s="142">
        <f t="shared" si="3"/>
        <v>0</v>
      </c>
      <c r="K21" s="110">
        <v>125</v>
      </c>
      <c r="L21" s="110">
        <v>159</v>
      </c>
      <c r="M21" s="156">
        <f t="shared" si="4"/>
        <v>284</v>
      </c>
      <c r="N21" s="157">
        <f t="shared" si="5"/>
        <v>6.3E-2</v>
      </c>
      <c r="O21" s="17"/>
    </row>
    <row r="22" spans="1:15">
      <c r="A22" s="140" t="s">
        <v>15</v>
      </c>
      <c r="B22" s="110">
        <v>1260</v>
      </c>
      <c r="C22" s="204">
        <v>190</v>
      </c>
      <c r="D22" s="141">
        <v>0</v>
      </c>
      <c r="E22" s="142">
        <f t="shared" si="0"/>
        <v>1450</v>
      </c>
      <c r="F22" s="110">
        <v>389</v>
      </c>
      <c r="G22" s="142">
        <f t="shared" si="1"/>
        <v>344</v>
      </c>
      <c r="H22" s="155">
        <f t="shared" si="2"/>
        <v>385</v>
      </c>
      <c r="I22" s="110">
        <v>0</v>
      </c>
      <c r="J22" s="142">
        <f t="shared" si="3"/>
        <v>0</v>
      </c>
      <c r="K22" s="110">
        <v>332</v>
      </c>
      <c r="L22" s="110">
        <v>385</v>
      </c>
      <c r="M22" s="156">
        <f t="shared" si="4"/>
        <v>717</v>
      </c>
      <c r="N22" s="157">
        <f t="shared" si="5"/>
        <v>0.16</v>
      </c>
      <c r="O22" s="17"/>
    </row>
    <row r="23" spans="1:15">
      <c r="A23" s="140" t="s">
        <v>16</v>
      </c>
      <c r="B23" s="110">
        <v>1111</v>
      </c>
      <c r="C23" s="204">
        <v>568</v>
      </c>
      <c r="D23" s="141">
        <v>0</v>
      </c>
      <c r="E23" s="142">
        <f t="shared" si="0"/>
        <v>1679</v>
      </c>
      <c r="F23" s="110">
        <v>134</v>
      </c>
      <c r="G23" s="142">
        <f t="shared" si="1"/>
        <v>405</v>
      </c>
      <c r="H23" s="155">
        <f t="shared" si="2"/>
        <v>615</v>
      </c>
      <c r="I23" s="110">
        <v>0</v>
      </c>
      <c r="J23" s="142">
        <f t="shared" si="3"/>
        <v>0</v>
      </c>
      <c r="K23" s="110">
        <v>525</v>
      </c>
      <c r="L23" s="110">
        <v>615</v>
      </c>
      <c r="M23" s="156">
        <f t="shared" si="4"/>
        <v>1140</v>
      </c>
      <c r="N23" s="157">
        <f t="shared" si="5"/>
        <v>0.254</v>
      </c>
      <c r="O23" s="17"/>
    </row>
    <row r="24" spans="1:15">
      <c r="A24" s="140" t="s">
        <v>17</v>
      </c>
      <c r="B24" s="110">
        <v>186</v>
      </c>
      <c r="C24" s="204">
        <v>169</v>
      </c>
      <c r="D24" s="141">
        <v>0</v>
      </c>
      <c r="E24" s="142">
        <f t="shared" si="0"/>
        <v>355</v>
      </c>
      <c r="F24" s="110">
        <v>13</v>
      </c>
      <c r="G24" s="142">
        <f t="shared" si="1"/>
        <v>16</v>
      </c>
      <c r="H24" s="155">
        <f t="shared" si="2"/>
        <v>197</v>
      </c>
      <c r="I24" s="110">
        <v>0</v>
      </c>
      <c r="J24" s="142">
        <f t="shared" si="3"/>
        <v>0</v>
      </c>
      <c r="K24" s="110">
        <v>129</v>
      </c>
      <c r="L24" s="110">
        <v>197</v>
      </c>
      <c r="M24" s="156">
        <f t="shared" si="4"/>
        <v>326</v>
      </c>
      <c r="N24" s="157">
        <f t="shared" si="5"/>
        <v>7.2999999999999995E-2</v>
      </c>
      <c r="O24" s="17"/>
    </row>
    <row r="25" spans="1:15">
      <c r="A25" s="140" t="s">
        <v>18</v>
      </c>
      <c r="B25" s="110">
        <v>0</v>
      </c>
      <c r="C25" s="204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6358</v>
      </c>
      <c r="C28" s="158">
        <f>SUM(C16:C27)</f>
        <v>1030</v>
      </c>
      <c r="D28" s="158">
        <f>SUM(D16:D27)</f>
        <v>0</v>
      </c>
      <c r="E28" s="158">
        <f>SUM(E16:E27)</f>
        <v>7388</v>
      </c>
      <c r="F28" s="158">
        <f>SUM(F16:F27)</f>
        <v>1397</v>
      </c>
      <c r="G28" s="158">
        <f t="shared" si="1"/>
        <v>3504</v>
      </c>
      <c r="H28" s="158">
        <f>SUM(H16:H27)</f>
        <v>1368</v>
      </c>
      <c r="I28" s="158">
        <f>SUM(I16:I27)</f>
        <v>0</v>
      </c>
      <c r="J28" s="158">
        <f t="shared" si="3"/>
        <v>0</v>
      </c>
      <c r="K28" s="158">
        <f>SUM(K16:K27)</f>
        <v>1119</v>
      </c>
      <c r="L28" s="158">
        <f>SUM(L16:L27)</f>
        <v>1368</v>
      </c>
      <c r="M28" s="159">
        <f>SUM(M16:M27)</f>
        <v>2487</v>
      </c>
      <c r="N28" s="160">
        <f t="shared" si="5"/>
        <v>0.55400000000000005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1.65</v>
      </c>
      <c r="F29" s="161">
        <f t="shared" si="6"/>
        <v>0.31</v>
      </c>
      <c r="G29" s="161">
        <f t="shared" si="6"/>
        <v>0.78</v>
      </c>
      <c r="H29" s="161">
        <f t="shared" si="6"/>
        <v>0.3</v>
      </c>
      <c r="I29" s="161">
        <f t="shared" si="6"/>
        <v>0</v>
      </c>
      <c r="J29" s="161">
        <f t="shared" si="6"/>
        <v>0</v>
      </c>
      <c r="K29" s="161">
        <f t="shared" si="6"/>
        <v>0.25</v>
      </c>
      <c r="L29" s="161">
        <f t="shared" si="6"/>
        <v>0.3</v>
      </c>
      <c r="M29" s="162">
        <f t="shared" si="6"/>
        <v>0.55000000000000004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18.909041689225774</v>
      </c>
      <c r="G30" s="145">
        <f t="shared" si="7"/>
        <v>47.42826204656199</v>
      </c>
      <c r="H30" s="145">
        <f t="shared" si="7"/>
        <v>18.516513264753655</v>
      </c>
      <c r="I30" s="145">
        <f t="shared" si="7"/>
        <v>0</v>
      </c>
      <c r="J30" s="145">
        <f t="shared" si="7"/>
        <v>0</v>
      </c>
      <c r="K30" s="145">
        <f t="shared" si="7"/>
        <v>15.146182999458583</v>
      </c>
      <c r="L30" s="145">
        <f t="shared" si="7"/>
        <v>18.516513264753655</v>
      </c>
      <c r="M30" s="165">
        <f t="shared" si="7"/>
        <v>33.662696264212236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25.5">
      <c r="B38" s="196"/>
      <c r="C38" s="195"/>
      <c r="D38" s="195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9"/>
  <sheetViews>
    <sheetView showOutlineSymbols="0" topLeftCell="A4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74" t="s">
        <v>178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2476</v>
      </c>
      <c r="L9" s="84"/>
      <c r="M9" s="93" t="s">
        <v>77</v>
      </c>
      <c r="N9" s="126">
        <v>2020</v>
      </c>
    </row>
    <row r="10" spans="1:15" ht="18">
      <c r="A10" s="83" t="s">
        <v>6</v>
      </c>
      <c r="B10" s="84" t="s">
        <v>179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652</v>
      </c>
      <c r="C21" s="141">
        <v>0</v>
      </c>
      <c r="D21" s="141">
        <v>0</v>
      </c>
      <c r="E21" s="142">
        <f t="shared" si="0"/>
        <v>652</v>
      </c>
      <c r="F21" s="110">
        <v>0</v>
      </c>
      <c r="G21" s="142">
        <f t="shared" si="1"/>
        <v>652</v>
      </c>
      <c r="H21" s="155">
        <f t="shared" si="2"/>
        <v>0</v>
      </c>
      <c r="I21" s="110">
        <v>0</v>
      </c>
      <c r="J21" s="142">
        <f t="shared" si="3"/>
        <v>0</v>
      </c>
      <c r="K21" s="110">
        <v>0</v>
      </c>
      <c r="L21" s="110">
        <v>0</v>
      </c>
      <c r="M21" s="156">
        <f t="shared" si="4"/>
        <v>0</v>
      </c>
      <c r="N21" s="157">
        <f t="shared" si="5"/>
        <v>0</v>
      </c>
      <c r="O21" s="17"/>
    </row>
    <row r="22" spans="1:15">
      <c r="A22" s="140" t="s">
        <v>15</v>
      </c>
      <c r="B22" s="110">
        <v>2433</v>
      </c>
      <c r="C22" s="141">
        <v>0</v>
      </c>
      <c r="D22" s="141">
        <v>0</v>
      </c>
      <c r="E22" s="142">
        <f t="shared" si="0"/>
        <v>2433</v>
      </c>
      <c r="F22" s="110">
        <v>0</v>
      </c>
      <c r="G22" s="142">
        <f t="shared" si="1"/>
        <v>1783</v>
      </c>
      <c r="H22" s="155">
        <f t="shared" si="2"/>
        <v>163</v>
      </c>
      <c r="I22" s="110">
        <v>0</v>
      </c>
      <c r="J22" s="142">
        <f t="shared" si="3"/>
        <v>0</v>
      </c>
      <c r="K22" s="110">
        <v>487</v>
      </c>
      <c r="L22" s="110">
        <v>163</v>
      </c>
      <c r="M22" s="156">
        <f t="shared" si="4"/>
        <v>650</v>
      </c>
      <c r="N22" s="157">
        <f t="shared" si="5"/>
        <v>0.26300000000000001</v>
      </c>
      <c r="O22" s="17"/>
    </row>
    <row r="23" spans="1:15">
      <c r="A23" s="140" t="s">
        <v>16</v>
      </c>
      <c r="B23" s="110">
        <v>1784</v>
      </c>
      <c r="C23" s="141">
        <v>0</v>
      </c>
      <c r="D23" s="141">
        <v>0</v>
      </c>
      <c r="E23" s="142">
        <f t="shared" si="0"/>
        <v>1784</v>
      </c>
      <c r="F23" s="110">
        <v>0</v>
      </c>
      <c r="G23" s="142">
        <f t="shared" si="1"/>
        <v>1167</v>
      </c>
      <c r="H23" s="155">
        <f t="shared" si="2"/>
        <v>90</v>
      </c>
      <c r="I23" s="110">
        <v>0</v>
      </c>
      <c r="J23" s="142">
        <f t="shared" si="3"/>
        <v>0</v>
      </c>
      <c r="K23" s="110">
        <v>527</v>
      </c>
      <c r="L23" s="110">
        <v>90</v>
      </c>
      <c r="M23" s="156">
        <f t="shared" si="4"/>
        <v>617</v>
      </c>
      <c r="N23" s="157">
        <f t="shared" si="5"/>
        <v>0.249</v>
      </c>
      <c r="O23" s="17"/>
    </row>
    <row r="24" spans="1:15">
      <c r="A24" s="140" t="s">
        <v>17</v>
      </c>
      <c r="B24" s="110">
        <v>357</v>
      </c>
      <c r="C24" s="141">
        <v>0</v>
      </c>
      <c r="D24" s="141">
        <v>0</v>
      </c>
      <c r="E24" s="142">
        <f t="shared" si="0"/>
        <v>357</v>
      </c>
      <c r="F24" s="110">
        <v>0</v>
      </c>
      <c r="G24" s="142">
        <f t="shared" si="1"/>
        <v>201</v>
      </c>
      <c r="H24" s="155">
        <f t="shared" si="2"/>
        <v>9</v>
      </c>
      <c r="I24" s="110">
        <v>0</v>
      </c>
      <c r="J24" s="142">
        <f t="shared" si="3"/>
        <v>0</v>
      </c>
      <c r="K24" s="110">
        <v>147</v>
      </c>
      <c r="L24" s="110">
        <v>9</v>
      </c>
      <c r="M24" s="156">
        <f t="shared" si="4"/>
        <v>156</v>
      </c>
      <c r="N24" s="157">
        <f t="shared" si="5"/>
        <v>6.3E-2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5226</v>
      </c>
      <c r="C28" s="158">
        <f>SUM(C16:C27)</f>
        <v>0</v>
      </c>
      <c r="D28" s="158">
        <f>SUM(D16:D27)</f>
        <v>0</v>
      </c>
      <c r="E28" s="158">
        <f>SUM(E16:E27)</f>
        <v>5226</v>
      </c>
      <c r="F28" s="158">
        <f>SUM(F16:F27)</f>
        <v>0</v>
      </c>
      <c r="G28" s="158">
        <f t="shared" si="1"/>
        <v>3803</v>
      </c>
      <c r="H28" s="158">
        <f>SUM(H16:H27)</f>
        <v>262</v>
      </c>
      <c r="I28" s="158">
        <f>SUM(I16:I27)</f>
        <v>0</v>
      </c>
      <c r="J28" s="158">
        <f t="shared" si="3"/>
        <v>0</v>
      </c>
      <c r="K28" s="158">
        <f>SUM(K16:K27)</f>
        <v>1161</v>
      </c>
      <c r="L28" s="158">
        <f>SUM(L16:L27)</f>
        <v>262</v>
      </c>
      <c r="M28" s="159">
        <f>SUM(M16:M27)</f>
        <v>1423</v>
      </c>
      <c r="N28" s="160">
        <f t="shared" si="5"/>
        <v>0.57499999999999996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2.11</v>
      </c>
      <c r="F29" s="161">
        <f t="shared" si="6"/>
        <v>0</v>
      </c>
      <c r="G29" s="161">
        <f t="shared" si="6"/>
        <v>1.54</v>
      </c>
      <c r="H29" s="161">
        <f t="shared" si="6"/>
        <v>0.11</v>
      </c>
      <c r="I29" s="161">
        <f t="shared" si="6"/>
        <v>0</v>
      </c>
      <c r="J29" s="161">
        <f t="shared" si="6"/>
        <v>0</v>
      </c>
      <c r="K29" s="161">
        <f t="shared" si="6"/>
        <v>0.47</v>
      </c>
      <c r="L29" s="161">
        <f t="shared" si="6"/>
        <v>0.11</v>
      </c>
      <c r="M29" s="162">
        <f t="shared" si="6"/>
        <v>0.56999999999999995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72.770761576731729</v>
      </c>
      <c r="H30" s="145">
        <f t="shared" si="7"/>
        <v>5.0133945656333712</v>
      </c>
      <c r="I30" s="145">
        <f t="shared" si="7"/>
        <v>0</v>
      </c>
      <c r="J30" s="145">
        <f t="shared" si="7"/>
        <v>0</v>
      </c>
      <c r="K30" s="145">
        <f t="shared" si="7"/>
        <v>22.215843857634905</v>
      </c>
      <c r="L30" s="145">
        <f t="shared" si="7"/>
        <v>5.0133945656333712</v>
      </c>
      <c r="M30" s="165">
        <f t="shared" si="7"/>
        <v>27.229238423268278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9" spans="1:15" ht="30"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 t="s">
        <v>0</v>
      </c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94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16006</v>
      </c>
      <c r="L9" s="137"/>
      <c r="M9" s="13" t="s">
        <v>77</v>
      </c>
      <c r="N9" s="109">
        <v>2020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95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96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97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98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115</v>
      </c>
      <c r="C19" s="141">
        <v>0</v>
      </c>
      <c r="D19" s="141">
        <v>0</v>
      </c>
      <c r="E19" s="142">
        <f t="shared" si="0"/>
        <v>115</v>
      </c>
      <c r="F19" s="110">
        <v>18</v>
      </c>
      <c r="G19" s="142">
        <f t="shared" si="1"/>
        <v>97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4359</v>
      </c>
      <c r="C20" s="141">
        <v>0</v>
      </c>
      <c r="D20" s="141">
        <v>0</v>
      </c>
      <c r="E20" s="142">
        <f t="shared" si="0"/>
        <v>4359</v>
      </c>
      <c r="F20" s="110">
        <v>19</v>
      </c>
      <c r="G20" s="142">
        <f t="shared" si="1"/>
        <v>4293</v>
      </c>
      <c r="H20" s="155">
        <f>L20</f>
        <v>17</v>
      </c>
      <c r="I20" s="110">
        <v>0</v>
      </c>
      <c r="J20" s="142">
        <f t="shared" si="3"/>
        <v>0</v>
      </c>
      <c r="K20" s="110">
        <v>30</v>
      </c>
      <c r="L20" s="110">
        <v>17</v>
      </c>
      <c r="M20" s="156">
        <f t="shared" si="4"/>
        <v>47</v>
      </c>
      <c r="N20" s="157">
        <f t="shared" si="5"/>
        <v>3.0000000000000001E-3</v>
      </c>
      <c r="O20" s="17"/>
    </row>
    <row r="21" spans="1:15">
      <c r="A21" s="140" t="s">
        <v>14</v>
      </c>
      <c r="B21" s="110">
        <v>6033</v>
      </c>
      <c r="C21" s="141">
        <v>0</v>
      </c>
      <c r="D21" s="141">
        <v>0</v>
      </c>
      <c r="E21" s="142">
        <f t="shared" si="0"/>
        <v>6033</v>
      </c>
      <c r="F21" s="110">
        <v>544</v>
      </c>
      <c r="G21" s="142">
        <f t="shared" si="1"/>
        <v>4399</v>
      </c>
      <c r="H21" s="155">
        <f t="shared" si="2"/>
        <v>514</v>
      </c>
      <c r="I21" s="110">
        <v>0</v>
      </c>
      <c r="J21" s="142">
        <f t="shared" si="3"/>
        <v>0</v>
      </c>
      <c r="K21" s="110">
        <v>576</v>
      </c>
      <c r="L21" s="110">
        <v>514</v>
      </c>
      <c r="M21" s="156">
        <f t="shared" si="4"/>
        <v>1090</v>
      </c>
      <c r="N21" s="157">
        <f t="shared" si="5"/>
        <v>6.8000000000000005E-2</v>
      </c>
      <c r="O21" s="17"/>
    </row>
    <row r="22" spans="1:15">
      <c r="A22" s="140" t="s">
        <v>15</v>
      </c>
      <c r="B22" s="110">
        <v>6838</v>
      </c>
      <c r="C22" s="141">
        <v>0</v>
      </c>
      <c r="D22" s="141">
        <v>0</v>
      </c>
      <c r="E22" s="142">
        <f t="shared" si="0"/>
        <v>6838</v>
      </c>
      <c r="F22" s="110">
        <v>308</v>
      </c>
      <c r="G22" s="142">
        <f t="shared" si="1"/>
        <v>2339</v>
      </c>
      <c r="H22" s="155">
        <f t="shared" si="2"/>
        <v>1890</v>
      </c>
      <c r="I22" s="110">
        <v>0</v>
      </c>
      <c r="J22" s="142">
        <f t="shared" si="3"/>
        <v>0</v>
      </c>
      <c r="K22" s="110">
        <v>2301</v>
      </c>
      <c r="L22" s="110">
        <v>1890</v>
      </c>
      <c r="M22" s="156">
        <f t="shared" si="4"/>
        <v>4191</v>
      </c>
      <c r="N22" s="157">
        <f t="shared" si="5"/>
        <v>0.26200000000000001</v>
      </c>
      <c r="O22" s="17"/>
    </row>
    <row r="23" spans="1:15">
      <c r="A23" s="140" t="s">
        <v>16</v>
      </c>
      <c r="B23" s="110">
        <v>7866</v>
      </c>
      <c r="C23" s="141">
        <v>0</v>
      </c>
      <c r="D23" s="141">
        <v>0</v>
      </c>
      <c r="E23" s="142">
        <f t="shared" si="0"/>
        <v>7866</v>
      </c>
      <c r="F23" s="110">
        <v>177</v>
      </c>
      <c r="G23" s="142">
        <f t="shared" si="1"/>
        <v>3038</v>
      </c>
      <c r="H23" s="155">
        <f t="shared" si="2"/>
        <v>2206</v>
      </c>
      <c r="I23" s="110">
        <v>0</v>
      </c>
      <c r="J23" s="142">
        <f t="shared" si="3"/>
        <v>0</v>
      </c>
      <c r="K23" s="110">
        <v>2445</v>
      </c>
      <c r="L23" s="110">
        <v>2206</v>
      </c>
      <c r="M23" s="156">
        <f t="shared" si="4"/>
        <v>4651</v>
      </c>
      <c r="N23" s="157">
        <f t="shared" si="5"/>
        <v>0.29099999999999998</v>
      </c>
      <c r="O23" s="17"/>
    </row>
    <row r="24" spans="1:15">
      <c r="A24" s="140" t="s">
        <v>17</v>
      </c>
      <c r="B24" s="110">
        <v>1503</v>
      </c>
      <c r="C24" s="141">
        <v>0</v>
      </c>
      <c r="D24" s="141">
        <v>0</v>
      </c>
      <c r="E24" s="142">
        <f t="shared" si="0"/>
        <v>1503</v>
      </c>
      <c r="F24" s="110">
        <v>127</v>
      </c>
      <c r="G24" s="142">
        <f t="shared" si="1"/>
        <v>248</v>
      </c>
      <c r="H24" s="155">
        <f t="shared" si="2"/>
        <v>466</v>
      </c>
      <c r="I24" s="110">
        <v>0</v>
      </c>
      <c r="J24" s="142">
        <f t="shared" si="3"/>
        <v>0</v>
      </c>
      <c r="K24" s="110">
        <v>662</v>
      </c>
      <c r="L24" s="110">
        <v>466</v>
      </c>
      <c r="M24" s="156">
        <f t="shared" si="4"/>
        <v>1128</v>
      </c>
      <c r="N24" s="157">
        <f t="shared" si="5"/>
        <v>7.0000000000000007E-2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26714</v>
      </c>
      <c r="C28" s="158">
        <f>SUM(C16:C27)</f>
        <v>0</v>
      </c>
      <c r="D28" s="158">
        <f>SUM(D16:D27)</f>
        <v>0</v>
      </c>
      <c r="E28" s="158">
        <f>SUM(E16:E27)</f>
        <v>26714</v>
      </c>
      <c r="F28" s="158">
        <f>SUM(F16:F27)</f>
        <v>1193</v>
      </c>
      <c r="G28" s="158">
        <f t="shared" si="1"/>
        <v>14414</v>
      </c>
      <c r="H28" s="158">
        <f>SUM(H16:H27)</f>
        <v>5093</v>
      </c>
      <c r="I28" s="158">
        <f>SUM(I16:I27)</f>
        <v>0</v>
      </c>
      <c r="J28" s="158">
        <f t="shared" si="3"/>
        <v>0</v>
      </c>
      <c r="K28" s="158">
        <f>SUM(K16:K27)</f>
        <v>6014</v>
      </c>
      <c r="L28" s="158">
        <f>SUM(L16:L27)</f>
        <v>5093</v>
      </c>
      <c r="M28" s="159">
        <f>SUM(M16:M27)</f>
        <v>11107</v>
      </c>
      <c r="N28" s="160">
        <f t="shared" si="5"/>
        <v>0.69399999999999995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1.67</v>
      </c>
      <c r="F29" s="161">
        <f t="shared" si="6"/>
        <v>7.0000000000000007E-2</v>
      </c>
      <c r="G29" s="161">
        <f t="shared" si="6"/>
        <v>0.9</v>
      </c>
      <c r="H29" s="161">
        <f t="shared" si="6"/>
        <v>0.32</v>
      </c>
      <c r="I29" s="161">
        <f t="shared" si="6"/>
        <v>0</v>
      </c>
      <c r="J29" s="161">
        <f t="shared" si="6"/>
        <v>0</v>
      </c>
      <c r="K29" s="161">
        <f t="shared" si="6"/>
        <v>0.38</v>
      </c>
      <c r="L29" s="161">
        <f t="shared" si="6"/>
        <v>0.32</v>
      </c>
      <c r="M29" s="162">
        <f t="shared" si="6"/>
        <v>0.69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4.4658231638841057</v>
      </c>
      <c r="G30" s="145">
        <f t="shared" si="7"/>
        <v>53.956726809912404</v>
      </c>
      <c r="H30" s="145">
        <f t="shared" si="7"/>
        <v>19.064909785131391</v>
      </c>
      <c r="I30" s="145">
        <f t="shared" si="7"/>
        <v>0</v>
      </c>
      <c r="J30" s="145">
        <f t="shared" si="7"/>
        <v>0</v>
      </c>
      <c r="K30" s="145">
        <f t="shared" si="7"/>
        <v>22.512540241072095</v>
      </c>
      <c r="L30" s="145">
        <f t="shared" si="7"/>
        <v>19.064909785131391</v>
      </c>
      <c r="M30" s="165">
        <f t="shared" si="7"/>
        <v>41.577450026203486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tabSelected="1" showOutlineSymbols="0" zoomScale="87" zoomScaleNormal="87" workbookViewId="0">
      <selection activeCell="P11" sqref="P11"/>
    </sheetView>
  </sheetViews>
  <sheetFormatPr defaultColWidth="9.6640625" defaultRowHeight="15"/>
  <cols>
    <col min="1" max="1" width="15.6640625" style="1" customWidth="1"/>
    <col min="2" max="2" width="7.6640625" style="1" customWidth="1"/>
    <col min="3" max="3" width="6.88671875" style="1" customWidth="1"/>
    <col min="4" max="4" width="8.554687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" t="s">
        <v>0</v>
      </c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111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33928</v>
      </c>
      <c r="L9" s="137"/>
      <c r="M9" s="13" t="s">
        <v>77</v>
      </c>
      <c r="N9" s="109">
        <v>2020</v>
      </c>
    </row>
    <row r="10" spans="1:15" ht="18.75" thickBot="1">
      <c r="A10" s="10" t="s">
        <v>6</v>
      </c>
      <c r="B10" s="137" t="s">
        <v>112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189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192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191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115</v>
      </c>
      <c r="C19" s="204">
        <v>0</v>
      </c>
      <c r="D19" s="204">
        <v>0</v>
      </c>
      <c r="E19" s="142">
        <f t="shared" si="0"/>
        <v>115</v>
      </c>
      <c r="F19" s="110">
        <v>18</v>
      </c>
      <c r="G19" s="142">
        <f t="shared" si="1"/>
        <v>97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6409</v>
      </c>
      <c r="C20" s="204">
        <v>0</v>
      </c>
      <c r="D20" s="204">
        <v>0</v>
      </c>
      <c r="E20" s="142">
        <f t="shared" si="0"/>
        <v>6409</v>
      </c>
      <c r="F20" s="110">
        <v>268</v>
      </c>
      <c r="G20" s="142">
        <f t="shared" si="1"/>
        <v>6074</v>
      </c>
      <c r="H20" s="155">
        <f t="shared" si="2"/>
        <v>29</v>
      </c>
      <c r="I20" s="110">
        <v>0</v>
      </c>
      <c r="J20" s="142">
        <f t="shared" si="3"/>
        <v>0</v>
      </c>
      <c r="K20" s="110">
        <v>38</v>
      </c>
      <c r="L20" s="110">
        <v>29</v>
      </c>
      <c r="M20" s="156">
        <f t="shared" si="4"/>
        <v>67</v>
      </c>
      <c r="N20" s="157">
        <f t="shared" si="5"/>
        <v>2E-3</v>
      </c>
      <c r="O20" s="17"/>
    </row>
    <row r="21" spans="1:15">
      <c r="A21" s="140" t="s">
        <v>14</v>
      </c>
      <c r="B21" s="110">
        <v>11812</v>
      </c>
      <c r="C21" s="204">
        <v>103</v>
      </c>
      <c r="D21" s="204">
        <f>'[1]mk drift'!D21</f>
        <v>106</v>
      </c>
      <c r="E21" s="142">
        <f t="shared" si="0"/>
        <v>11809</v>
      </c>
      <c r="F21" s="110">
        <v>1156</v>
      </c>
      <c r="G21" s="142">
        <f t="shared" si="1"/>
        <v>8667</v>
      </c>
      <c r="H21" s="155">
        <f t="shared" si="2"/>
        <v>1017</v>
      </c>
      <c r="I21" s="110">
        <v>0</v>
      </c>
      <c r="J21" s="142">
        <f t="shared" si="3"/>
        <v>0</v>
      </c>
      <c r="K21" s="110">
        <v>969</v>
      </c>
      <c r="L21" s="110">
        <v>1017</v>
      </c>
      <c r="M21" s="156">
        <f t="shared" si="4"/>
        <v>1986</v>
      </c>
      <c r="N21" s="157">
        <f t="shared" si="5"/>
        <v>5.8999999999999997E-2</v>
      </c>
      <c r="O21" s="17"/>
    </row>
    <row r="22" spans="1:15">
      <c r="A22" s="140" t="s">
        <v>15</v>
      </c>
      <c r="B22" s="110">
        <v>17933</v>
      </c>
      <c r="C22" s="204">
        <v>190</v>
      </c>
      <c r="D22" s="204">
        <f>'[1]mk drift'!D22</f>
        <v>596</v>
      </c>
      <c r="E22" s="142">
        <f t="shared" si="0"/>
        <v>17527</v>
      </c>
      <c r="F22" s="110">
        <v>696</v>
      </c>
      <c r="G22" s="142">
        <f t="shared" si="1"/>
        <v>8117</v>
      </c>
      <c r="H22" s="155">
        <f t="shared" si="2"/>
        <v>4178</v>
      </c>
      <c r="I22" s="110">
        <v>0</v>
      </c>
      <c r="J22" s="142">
        <f t="shared" si="3"/>
        <v>0</v>
      </c>
      <c r="K22" s="110">
        <v>4536</v>
      </c>
      <c r="L22" s="110">
        <v>4178</v>
      </c>
      <c r="M22" s="156">
        <f t="shared" si="4"/>
        <v>8714</v>
      </c>
      <c r="N22" s="157">
        <f t="shared" si="5"/>
        <v>0.25700000000000001</v>
      </c>
      <c r="O22" s="17"/>
    </row>
    <row r="23" spans="1:15">
      <c r="A23" s="140" t="s">
        <v>16</v>
      </c>
      <c r="B23" s="110">
        <v>18620</v>
      </c>
      <c r="C23" s="204">
        <v>568</v>
      </c>
      <c r="D23" s="204">
        <f>'[1]mk drift'!D23</f>
        <v>866</v>
      </c>
      <c r="E23" s="142">
        <f t="shared" si="0"/>
        <v>18322</v>
      </c>
      <c r="F23" s="110">
        <v>311</v>
      </c>
      <c r="G23" s="142">
        <f t="shared" si="1"/>
        <v>8872</v>
      </c>
      <c r="H23" s="155">
        <f t="shared" si="2"/>
        <v>4348</v>
      </c>
      <c r="I23" s="110">
        <v>0</v>
      </c>
      <c r="J23" s="142">
        <f t="shared" si="3"/>
        <v>0</v>
      </c>
      <c r="K23" s="110">
        <v>4791</v>
      </c>
      <c r="L23" s="110">
        <v>4348</v>
      </c>
      <c r="M23" s="156">
        <f t="shared" si="4"/>
        <v>9139</v>
      </c>
      <c r="N23" s="157">
        <f t="shared" si="5"/>
        <v>0.26900000000000002</v>
      </c>
      <c r="O23" s="17"/>
    </row>
    <row r="24" spans="1:15">
      <c r="A24" s="140" t="s">
        <v>17</v>
      </c>
      <c r="B24" s="110">
        <v>3837</v>
      </c>
      <c r="C24" s="204">
        <v>169</v>
      </c>
      <c r="D24" s="204">
        <f>'[1]mk drift'!D24</f>
        <v>249</v>
      </c>
      <c r="E24" s="142">
        <f t="shared" si="0"/>
        <v>3757</v>
      </c>
      <c r="F24" s="110">
        <v>139</v>
      </c>
      <c r="G24" s="142">
        <f t="shared" si="1"/>
        <v>1041</v>
      </c>
      <c r="H24" s="155">
        <f t="shared" si="2"/>
        <v>1248</v>
      </c>
      <c r="I24" s="110">
        <v>0</v>
      </c>
      <c r="J24" s="142">
        <f t="shared" si="3"/>
        <v>0</v>
      </c>
      <c r="K24" s="110">
        <v>1329</v>
      </c>
      <c r="L24" s="110">
        <v>1248</v>
      </c>
      <c r="M24" s="156">
        <f t="shared" si="4"/>
        <v>2577</v>
      </c>
      <c r="N24" s="157">
        <f t="shared" si="5"/>
        <v>7.5999999999999998E-2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58726</v>
      </c>
      <c r="C28" s="207">
        <f>SUM(C16:C27)</f>
        <v>1030</v>
      </c>
      <c r="D28" s="207">
        <f>SUM(D16:D27)</f>
        <v>1817</v>
      </c>
      <c r="E28" s="158">
        <f>SUM(E16:E27)</f>
        <v>57939</v>
      </c>
      <c r="F28" s="158">
        <f>SUM(F16:F27)</f>
        <v>2588</v>
      </c>
      <c r="G28" s="158">
        <f t="shared" si="1"/>
        <v>32868</v>
      </c>
      <c r="H28" s="158">
        <f>SUM(H16:H27)</f>
        <v>10820</v>
      </c>
      <c r="I28" s="158">
        <f>SUM(I16:I27)</f>
        <v>0</v>
      </c>
      <c r="J28" s="158">
        <f t="shared" si="3"/>
        <v>0</v>
      </c>
      <c r="K28" s="158">
        <f>SUM(K16:K27)</f>
        <v>11663</v>
      </c>
      <c r="L28" s="158">
        <f>SUM(L16:L27)</f>
        <v>10820</v>
      </c>
      <c r="M28" s="159">
        <f>SUM(M16:M27)</f>
        <v>22483</v>
      </c>
      <c r="N28" s="160">
        <f t="shared" si="5"/>
        <v>0.66300000000000003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1.71</v>
      </c>
      <c r="F29" s="161">
        <f t="shared" si="6"/>
        <v>0.08</v>
      </c>
      <c r="G29" s="161">
        <f t="shared" si="6"/>
        <v>0.97</v>
      </c>
      <c r="H29" s="161">
        <f t="shared" si="6"/>
        <v>0.32</v>
      </c>
      <c r="I29" s="161">
        <f t="shared" si="6"/>
        <v>0</v>
      </c>
      <c r="J29" s="161">
        <f t="shared" si="6"/>
        <v>0</v>
      </c>
      <c r="K29" s="161">
        <f t="shared" si="6"/>
        <v>0.34</v>
      </c>
      <c r="L29" s="161">
        <f t="shared" si="6"/>
        <v>0.32</v>
      </c>
      <c r="M29" s="162">
        <f t="shared" si="6"/>
        <v>0.66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4.4667667719498096</v>
      </c>
      <c r="G30" s="145">
        <f t="shared" si="7"/>
        <v>56.728628385025623</v>
      </c>
      <c r="H30" s="145">
        <f t="shared" si="7"/>
        <v>18.674813165570686</v>
      </c>
      <c r="I30" s="145">
        <f t="shared" si="7"/>
        <v>0</v>
      </c>
      <c r="J30" s="145">
        <f t="shared" si="7"/>
        <v>0</v>
      </c>
      <c r="K30" s="145">
        <f t="shared" si="7"/>
        <v>20.129791677453873</v>
      </c>
      <c r="L30" s="145">
        <f t="shared" si="7"/>
        <v>18.674813165570686</v>
      </c>
      <c r="M30" s="165">
        <f t="shared" si="7"/>
        <v>38.804604843024556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114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11079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115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4472</v>
      </c>
      <c r="C21" s="141">
        <v>0</v>
      </c>
      <c r="D21" s="141">
        <v>0</v>
      </c>
      <c r="E21" s="142">
        <f t="shared" si="0"/>
        <v>4472</v>
      </c>
      <c r="F21" s="110">
        <v>945</v>
      </c>
      <c r="G21" s="142">
        <f t="shared" si="1"/>
        <v>2963</v>
      </c>
      <c r="H21" s="110">
        <v>0</v>
      </c>
      <c r="I21" s="110">
        <v>0</v>
      </c>
      <c r="J21" s="142">
        <f t="shared" si="2"/>
        <v>0</v>
      </c>
      <c r="K21" s="110">
        <v>564</v>
      </c>
      <c r="L21" s="110">
        <v>0</v>
      </c>
      <c r="M21" s="142">
        <f t="shared" si="3"/>
        <v>564</v>
      </c>
      <c r="N21" s="140">
        <f t="shared" si="4"/>
        <v>5.0999999999999997E-2</v>
      </c>
      <c r="O21" s="17"/>
    </row>
    <row r="22" spans="1:15">
      <c r="A22" s="140" t="s">
        <v>15</v>
      </c>
      <c r="B22" s="110">
        <v>6448</v>
      </c>
      <c r="C22" s="141">
        <v>0</v>
      </c>
      <c r="D22" s="141">
        <v>0</v>
      </c>
      <c r="E22" s="142">
        <f t="shared" si="0"/>
        <v>6448</v>
      </c>
      <c r="F22" s="110">
        <v>916</v>
      </c>
      <c r="G22" s="142">
        <f t="shared" si="1"/>
        <v>4296.8</v>
      </c>
      <c r="H22" s="110">
        <v>0</v>
      </c>
      <c r="I22" s="110">
        <v>0</v>
      </c>
      <c r="J22" s="142">
        <f t="shared" si="2"/>
        <v>0</v>
      </c>
      <c r="K22" s="110">
        <v>1235.2</v>
      </c>
      <c r="L22" s="110">
        <v>0</v>
      </c>
      <c r="M22" s="142">
        <f t="shared" si="3"/>
        <v>1235.2</v>
      </c>
      <c r="N22" s="140">
        <f t="shared" si="4"/>
        <v>0.111</v>
      </c>
      <c r="O22" s="17"/>
    </row>
    <row r="23" spans="1:15">
      <c r="A23" s="140" t="s">
        <v>16</v>
      </c>
      <c r="B23" s="110">
        <v>9042</v>
      </c>
      <c r="C23" s="141">
        <v>0</v>
      </c>
      <c r="D23" s="141">
        <v>0</v>
      </c>
      <c r="E23" s="142">
        <f t="shared" si="0"/>
        <v>9042</v>
      </c>
      <c r="F23" s="110">
        <v>964</v>
      </c>
      <c r="G23" s="142">
        <f t="shared" si="1"/>
        <v>5191</v>
      </c>
      <c r="H23" s="110">
        <v>0</v>
      </c>
      <c r="I23" s="110">
        <v>0</v>
      </c>
      <c r="J23" s="142">
        <f t="shared" si="2"/>
        <v>0</v>
      </c>
      <c r="K23" s="110">
        <v>2887</v>
      </c>
      <c r="L23" s="110">
        <v>0</v>
      </c>
      <c r="M23" s="142">
        <f t="shared" si="3"/>
        <v>2887</v>
      </c>
      <c r="N23" s="140">
        <f t="shared" si="4"/>
        <v>0.26100000000000001</v>
      </c>
      <c r="O23" s="17"/>
    </row>
    <row r="24" spans="1:15">
      <c r="A24" s="140" t="s">
        <v>17</v>
      </c>
      <c r="B24" s="110">
        <v>2091</v>
      </c>
      <c r="C24" s="141">
        <v>0</v>
      </c>
      <c r="D24" s="141">
        <v>0</v>
      </c>
      <c r="E24" s="142">
        <f t="shared" si="0"/>
        <v>2091</v>
      </c>
      <c r="F24" s="110">
        <v>386</v>
      </c>
      <c r="G24" s="142">
        <f t="shared" si="1"/>
        <v>621</v>
      </c>
      <c r="H24" s="110">
        <v>0</v>
      </c>
      <c r="I24" s="110">
        <v>0</v>
      </c>
      <c r="J24" s="142">
        <f t="shared" si="2"/>
        <v>0</v>
      </c>
      <c r="K24" s="110">
        <v>1084</v>
      </c>
      <c r="L24" s="110">
        <v>0</v>
      </c>
      <c r="M24" s="142">
        <f t="shared" si="3"/>
        <v>1084</v>
      </c>
      <c r="N24" s="140">
        <f t="shared" si="4"/>
        <v>9.8000000000000004E-2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73" t="s">
        <v>21</v>
      </c>
      <c r="B28" s="158">
        <f>SUM(B16:B27)</f>
        <v>22053</v>
      </c>
      <c r="C28" s="158">
        <f>SUM(C16:C27)</f>
        <v>0</v>
      </c>
      <c r="D28" s="158">
        <f>SUM(D16:D27)</f>
        <v>0</v>
      </c>
      <c r="E28" s="158">
        <f>SUM(E16:E27)</f>
        <v>22053</v>
      </c>
      <c r="F28" s="158">
        <f>SUM(F16:F27)</f>
        <v>3211</v>
      </c>
      <c r="G28" s="158">
        <f t="shared" si="1"/>
        <v>13071.8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5770.2</v>
      </c>
      <c r="L28" s="158">
        <f>SUM(L16:L27)</f>
        <v>0</v>
      </c>
      <c r="M28" s="158">
        <f>SUM(M16:M27)</f>
        <v>5770.2</v>
      </c>
      <c r="N28" s="143">
        <f t="shared" si="4"/>
        <v>0.52100000000000002</v>
      </c>
      <c r="O28" s="17"/>
    </row>
    <row r="29" spans="1:15" ht="15.75" thickTop="1">
      <c r="A29" s="139" t="s">
        <v>22</v>
      </c>
      <c r="B29" s="139"/>
      <c r="C29" s="139"/>
      <c r="D29" s="139"/>
      <c r="E29" s="161">
        <f t="shared" ref="E29:M29" si="5">ROUND(+E28/$K$9,2)</f>
        <v>1.99</v>
      </c>
      <c r="F29" s="161">
        <f t="shared" si="5"/>
        <v>0.28999999999999998</v>
      </c>
      <c r="G29" s="161">
        <f t="shared" si="5"/>
        <v>1.18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0.52</v>
      </c>
      <c r="L29" s="161">
        <f t="shared" si="5"/>
        <v>0</v>
      </c>
      <c r="M29" s="161">
        <f t="shared" si="5"/>
        <v>0.52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ROUND(+E28/$E$28*100,1)</f>
        <v>100</v>
      </c>
      <c r="F30" s="145">
        <f t="shared" si="6"/>
        <v>14.6</v>
      </c>
      <c r="G30" s="145">
        <f t="shared" si="6"/>
        <v>59.3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26.2</v>
      </c>
      <c r="L30" s="145">
        <f t="shared" si="6"/>
        <v>0</v>
      </c>
      <c r="M30" s="145">
        <f t="shared" si="6"/>
        <v>26.2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40" spans="1:15" ht="25.5">
      <c r="B40" s="194"/>
      <c r="C40" s="197"/>
      <c r="D40" s="197"/>
      <c r="E40" s="19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</vt:i4>
      </vt:variant>
    </vt:vector>
  </HeadingPairs>
  <TitlesOfParts>
    <vt:vector size="27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Sprague, James Warren</cp:lastModifiedBy>
  <cp:lastPrinted>2021-01-08T19:25:16Z</cp:lastPrinted>
  <dcterms:created xsi:type="dcterms:W3CDTF">2005-01-04T14:17:57Z</dcterms:created>
  <dcterms:modified xsi:type="dcterms:W3CDTF">2021-02-17T15:56:03Z</dcterms:modified>
</cp:coreProperties>
</file>