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0\WorkingFolders\B_GWModelInputs\2_SWProcessing\BOR\"/>
    </mc:Choice>
  </mc:AlternateContent>
  <xr:revisionPtr revIDLastSave="0" documentId="13_ncr:1_{561AC176-9BE6-4106-AD64-D9E14E23515C}" xr6:coauthVersionLast="45" xr6:coauthVersionMax="45" xr10:uidLastSave="{00000000-0000-0000-0000-000000000000}"/>
  <bookViews>
    <workbookView xWindow="2535" yWindow="1920" windowWidth="23670" windowHeight="11385" tabRatio="879" activeTab="27" xr2:uid="{00000000-000D-0000-FFFF-FFFF00000000}"/>
  </bookViews>
  <sheets>
    <sheet name="culb" sheetId="7" r:id="rId1"/>
    <sheet name="culb ext 1" sheetId="8" r:id="rId2"/>
    <sheet name="culb ext 2" sheetId="9" r:id="rId3"/>
    <sheet name="mk drift" sheetId="21" r:id="rId4"/>
    <sheet name="bartley" sheetId="3" r:id="rId5"/>
    <sheet name="red wil" sheetId="26" r:id="rId6"/>
    <sheet name="camb" sheetId="5" r:id="rId7"/>
    <sheet name="fr cam sum" sheetId="12" r:id="rId8"/>
    <sheet name="frnklin" sheetId="14" r:id="rId9"/>
    <sheet name="nap" sheetId="24" r:id="rId10"/>
    <sheet name="frnk pmp" sheetId="13" r:id="rId11"/>
    <sheet name="sup" sheetId="29" r:id="rId12"/>
    <sheet name="ne-bost sum" sheetId="4" r:id="rId13"/>
    <sheet name="cout ne" sheetId="31" r:id="rId14"/>
    <sheet name="almena" sheetId="2" r:id="rId15"/>
    <sheet name="kirwin" sheetId="17" r:id="rId16"/>
    <sheet name="osb" sheetId="25" r:id="rId17"/>
    <sheet name="ks abov" sheetId="18" r:id="rId18"/>
    <sheet name="ks below" sheetId="19" r:id="rId19"/>
    <sheet name="ks-bost sum" sheetId="20" r:id="rId20"/>
    <sheet name="gln elder" sheetId="16" r:id="rId21"/>
    <sheet name="mirdan" sheetId="23" r:id="rId22"/>
    <sheet name="Fullerton" sheetId="15" r:id="rId23"/>
    <sheet name="twn lps sum" sheetId="30" r:id="rId24"/>
    <sheet name="ainsworth" sheetId="1" r:id="rId25"/>
    <sheet name="mir flts" sheetId="22" r:id="rId26"/>
    <sheet name="RRCA BOR Worksheet" sheetId="32" r:id="rId27"/>
    <sheet name="RRCA BOR Deliveries and Seepage" sheetId="35" r:id="rId28"/>
  </sheets>
  <definedNames>
    <definedName name="_xlnm.Print_Area" localSheetId="26">#REF!</definedName>
    <definedName name="_xlnm.Print_Area">'culb ext 2'!$A$1:$O$40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32" l="1"/>
  <c r="D24" i="12" l="1"/>
  <c r="D23" i="12"/>
  <c r="D22" i="12"/>
  <c r="D21" i="12"/>
  <c r="M16" i="32"/>
  <c r="M15" i="32"/>
  <c r="M14" i="32"/>
  <c r="M13" i="32"/>
  <c r="M12" i="32"/>
  <c r="M11" i="32"/>
  <c r="M10" i="32"/>
  <c r="M9" i="32"/>
  <c r="M8" i="32"/>
  <c r="M7" i="32"/>
  <c r="M6" i="32"/>
  <c r="M5" i="32"/>
  <c r="M4" i="32"/>
  <c r="L16" i="32"/>
  <c r="L15" i="32"/>
  <c r="L14" i="32"/>
  <c r="L13" i="32"/>
  <c r="L12" i="32"/>
  <c r="L11" i="32"/>
  <c r="L10" i="32"/>
  <c r="L9" i="32"/>
  <c r="L8" i="32"/>
  <c r="L7" i="32"/>
  <c r="L6" i="32"/>
  <c r="L5" i="32"/>
  <c r="L4" i="32"/>
  <c r="K16" i="32"/>
  <c r="K15" i="32"/>
  <c r="K14" i="32"/>
  <c r="K13" i="32"/>
  <c r="K12" i="32"/>
  <c r="K11" i="32"/>
  <c r="K10" i="32"/>
  <c r="K9" i="32"/>
  <c r="K8" i="32"/>
  <c r="K7" i="32"/>
  <c r="K6" i="32"/>
  <c r="K5" i="32"/>
  <c r="K4" i="32"/>
  <c r="J16" i="32"/>
  <c r="J15" i="32"/>
  <c r="J14" i="32"/>
  <c r="J13" i="32"/>
  <c r="J12" i="32"/>
  <c r="J11" i="32"/>
  <c r="J10" i="32"/>
  <c r="J9" i="32"/>
  <c r="J8" i="32"/>
  <c r="J7" i="32"/>
  <c r="J6" i="32"/>
  <c r="J5" i="32"/>
  <c r="J4" i="32"/>
  <c r="I16" i="32"/>
  <c r="I15" i="32"/>
  <c r="I14" i="32"/>
  <c r="I13" i="32"/>
  <c r="I12" i="32"/>
  <c r="I11" i="32"/>
  <c r="I10" i="32"/>
  <c r="I9" i="32"/>
  <c r="I8" i="32"/>
  <c r="I7" i="32"/>
  <c r="I6" i="32"/>
  <c r="I5" i="32"/>
  <c r="I4" i="32"/>
  <c r="H16" i="32"/>
  <c r="H15" i="32"/>
  <c r="H14" i="32"/>
  <c r="H13" i="32"/>
  <c r="H12" i="32"/>
  <c r="H11" i="32"/>
  <c r="H10" i="32"/>
  <c r="H9" i="32"/>
  <c r="H8" i="32"/>
  <c r="H7" i="32"/>
  <c r="H6" i="32"/>
  <c r="H5" i="32"/>
  <c r="H4" i="32"/>
  <c r="G16" i="32"/>
  <c r="G15" i="32"/>
  <c r="G14" i="32"/>
  <c r="G13" i="32"/>
  <c r="G12" i="32"/>
  <c r="G11" i="32"/>
  <c r="G10" i="32"/>
  <c r="G9" i="32"/>
  <c r="G8" i="32"/>
  <c r="G7" i="32"/>
  <c r="G6" i="32"/>
  <c r="G5" i="32"/>
  <c r="G4" i="32"/>
  <c r="F16" i="32"/>
  <c r="F15" i="32"/>
  <c r="F14" i="32"/>
  <c r="F13" i="32"/>
  <c r="F12" i="32"/>
  <c r="F11" i="32"/>
  <c r="F10" i="32"/>
  <c r="F9" i="32"/>
  <c r="F8" i="32"/>
  <c r="F7" i="32"/>
  <c r="F6" i="32"/>
  <c r="F5" i="32"/>
  <c r="F4" i="32"/>
  <c r="E16" i="32"/>
  <c r="E15" i="32"/>
  <c r="E14" i="32"/>
  <c r="E13" i="32"/>
  <c r="E12" i="32"/>
  <c r="E11" i="32"/>
  <c r="E10" i="32"/>
  <c r="E9" i="32"/>
  <c r="E8" i="32"/>
  <c r="E7" i="32"/>
  <c r="E6" i="32"/>
  <c r="E5" i="32"/>
  <c r="E4" i="32"/>
  <c r="D16" i="32"/>
  <c r="D15" i="32"/>
  <c r="D14" i="32"/>
  <c r="D13" i="32"/>
  <c r="D12" i="32"/>
  <c r="D11" i="32"/>
  <c r="D10" i="32"/>
  <c r="D9" i="32"/>
  <c r="D8" i="32"/>
  <c r="D7" i="32"/>
  <c r="D6" i="32"/>
  <c r="D5" i="32"/>
  <c r="D4" i="32"/>
  <c r="C16" i="32"/>
  <c r="C15" i="32"/>
  <c r="C14" i="32"/>
  <c r="C13" i="32"/>
  <c r="C12" i="32"/>
  <c r="C11" i="32"/>
  <c r="C10" i="32"/>
  <c r="C9" i="32"/>
  <c r="C7" i="32"/>
  <c r="C6" i="32"/>
  <c r="C5" i="32"/>
  <c r="C4" i="32"/>
  <c r="C16" i="16" l="1"/>
  <c r="C17" i="16"/>
  <c r="C18" i="16"/>
  <c r="C19" i="16"/>
  <c r="C20" i="16"/>
  <c r="K25" i="16" l="1"/>
  <c r="L22" i="16"/>
  <c r="C22" i="16" s="1"/>
  <c r="L23" i="16"/>
  <c r="C23" i="16" s="1"/>
  <c r="L24" i="16"/>
  <c r="C24" i="16" s="1"/>
  <c r="L25" i="16"/>
  <c r="C25" i="16" s="1"/>
  <c r="L26" i="16"/>
  <c r="C26" i="16" s="1"/>
  <c r="L27" i="16"/>
  <c r="C27" i="16" s="1"/>
  <c r="L21" i="16"/>
  <c r="C21" i="16" s="1"/>
  <c r="K9" i="20" l="1"/>
  <c r="J23" i="2" l="1"/>
  <c r="B27" i="4" l="1"/>
  <c r="B26" i="4"/>
  <c r="B25" i="4"/>
  <c r="B24" i="4"/>
  <c r="B23" i="4"/>
  <c r="B22" i="4"/>
  <c r="B21" i="4"/>
  <c r="B20" i="4"/>
  <c r="B19" i="4"/>
  <c r="B18" i="4"/>
  <c r="B17" i="4"/>
  <c r="B16" i="4"/>
  <c r="L17" i="4" l="1"/>
  <c r="L18" i="4"/>
  <c r="L19" i="4"/>
  <c r="L20" i="4"/>
  <c r="L21" i="4"/>
  <c r="L22" i="4"/>
  <c r="L23" i="4"/>
  <c r="L24" i="4"/>
  <c r="L25" i="4"/>
  <c r="L26" i="4"/>
  <c r="L27" i="4"/>
  <c r="L16" i="4"/>
  <c r="K17" i="4"/>
  <c r="K18" i="4"/>
  <c r="M18" i="4" s="1"/>
  <c r="K19" i="4"/>
  <c r="M19" i="4" s="1"/>
  <c r="K20" i="4"/>
  <c r="M20" i="4" s="1"/>
  <c r="K21" i="4"/>
  <c r="K22" i="4"/>
  <c r="M22" i="4" s="1"/>
  <c r="K23" i="4"/>
  <c r="K24" i="4"/>
  <c r="K25" i="4"/>
  <c r="M25" i="4" s="1"/>
  <c r="K26" i="4"/>
  <c r="M26" i="4" s="1"/>
  <c r="K27" i="4"/>
  <c r="K16" i="4"/>
  <c r="H17" i="4"/>
  <c r="H18" i="4"/>
  <c r="J18" i="4" s="1"/>
  <c r="H19" i="4"/>
  <c r="H20" i="4"/>
  <c r="J20" i="4" s="1"/>
  <c r="H21" i="4"/>
  <c r="H22" i="4"/>
  <c r="J22" i="4" s="1"/>
  <c r="H23" i="4"/>
  <c r="H24" i="4"/>
  <c r="H25" i="4"/>
  <c r="J25" i="4" s="1"/>
  <c r="H26" i="4"/>
  <c r="J26" i="4" s="1"/>
  <c r="H27" i="4"/>
  <c r="J27" i="4" s="1"/>
  <c r="H16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C28" i="4"/>
  <c r="D28" i="4"/>
  <c r="I28" i="4"/>
  <c r="M17" i="4" l="1"/>
  <c r="G18" i="4"/>
  <c r="G27" i="4"/>
  <c r="G20" i="4"/>
  <c r="M24" i="4"/>
  <c r="N24" i="4" s="1"/>
  <c r="J21" i="4"/>
  <c r="M23" i="4"/>
  <c r="N23" i="4" s="1"/>
  <c r="G26" i="4"/>
  <c r="G21" i="4"/>
  <c r="M27" i="4"/>
  <c r="N27" i="4" s="1"/>
  <c r="J19" i="4"/>
  <c r="J17" i="4"/>
  <c r="M21" i="4"/>
  <c r="N21" i="4" s="1"/>
  <c r="J23" i="4"/>
  <c r="M16" i="4"/>
  <c r="G22" i="4"/>
  <c r="G25" i="4"/>
  <c r="G17" i="4"/>
  <c r="J24" i="4"/>
  <c r="G23" i="4"/>
  <c r="J16" i="4"/>
  <c r="E28" i="4"/>
  <c r="G19" i="4"/>
  <c r="G16" i="4"/>
  <c r="G24" i="4"/>
  <c r="N17" i="4"/>
  <c r="N18" i="4"/>
  <c r="N19" i="4"/>
  <c r="N20" i="4"/>
  <c r="N22" i="4"/>
  <c r="N25" i="4"/>
  <c r="N26" i="4"/>
  <c r="M28" i="4" l="1"/>
  <c r="N28" i="4" s="1"/>
  <c r="N16" i="4"/>
  <c r="I29" i="4"/>
  <c r="E29" i="4" l="1"/>
  <c r="I30" i="4"/>
  <c r="E30" i="4"/>
  <c r="M29" i="4"/>
  <c r="M30" i="4"/>
  <c r="E21" i="23"/>
  <c r="D22" i="18" l="1"/>
  <c r="H20" i="5" l="1"/>
  <c r="D21" i="18" l="1"/>
  <c r="E22" i="31"/>
  <c r="G22" i="31" s="1"/>
  <c r="E23" i="31"/>
  <c r="G23" i="31" s="1"/>
  <c r="E16" i="31"/>
  <c r="G16" i="31" s="1"/>
  <c r="J16" i="31"/>
  <c r="M16" i="31"/>
  <c r="N16" i="31" s="1"/>
  <c r="E17" i="31"/>
  <c r="G17" i="31" s="1"/>
  <c r="J17" i="31"/>
  <c r="M17" i="31"/>
  <c r="N17" i="31" s="1"/>
  <c r="E18" i="31"/>
  <c r="G18" i="31" s="1"/>
  <c r="J18" i="31"/>
  <c r="M18" i="31"/>
  <c r="N18" i="31" s="1"/>
  <c r="E19" i="31"/>
  <c r="G19" i="31" s="1"/>
  <c r="J19" i="31"/>
  <c r="M19" i="31"/>
  <c r="N19" i="31" s="1"/>
  <c r="E20" i="31"/>
  <c r="G20" i="31" s="1"/>
  <c r="J20" i="31"/>
  <c r="M20" i="31"/>
  <c r="N20" i="31" s="1"/>
  <c r="E21" i="31"/>
  <c r="G21" i="31" s="1"/>
  <c r="J21" i="31"/>
  <c r="M21" i="31"/>
  <c r="N21" i="31" s="1"/>
  <c r="J22" i="31"/>
  <c r="M22" i="31"/>
  <c r="N22" i="31" s="1"/>
  <c r="J23" i="31"/>
  <c r="M23" i="31"/>
  <c r="N23" i="31" s="1"/>
  <c r="E24" i="31"/>
  <c r="G24" i="31" s="1"/>
  <c r="J24" i="31"/>
  <c r="M24" i="31"/>
  <c r="N24" i="31" s="1"/>
  <c r="E25" i="31"/>
  <c r="G25" i="31" s="1"/>
  <c r="J25" i="31"/>
  <c r="M25" i="31"/>
  <c r="N25" i="31" s="1"/>
  <c r="E26" i="31"/>
  <c r="G26" i="31" s="1"/>
  <c r="J26" i="31"/>
  <c r="M26" i="31"/>
  <c r="N26" i="31" s="1"/>
  <c r="E27" i="31"/>
  <c r="G27" i="31" s="1"/>
  <c r="J27" i="31"/>
  <c r="M27" i="31"/>
  <c r="N27" i="31" s="1"/>
  <c r="B28" i="31"/>
  <c r="C28" i="31"/>
  <c r="D28" i="31"/>
  <c r="F28" i="31"/>
  <c r="F29" i="31" s="1"/>
  <c r="H28" i="31"/>
  <c r="H29" i="31" s="1"/>
  <c r="I28" i="31"/>
  <c r="I29" i="31" s="1"/>
  <c r="K28" i="31"/>
  <c r="K29" i="31" s="1"/>
  <c r="L28" i="31"/>
  <c r="L29" i="31" s="1"/>
  <c r="J21" i="7"/>
  <c r="J20" i="7"/>
  <c r="J22" i="2"/>
  <c r="E22" i="2"/>
  <c r="G22" i="2" s="1"/>
  <c r="E16" i="2"/>
  <c r="E17" i="2"/>
  <c r="E18" i="2"/>
  <c r="G18" i="2" s="1"/>
  <c r="E19" i="2"/>
  <c r="G19" i="2" s="1"/>
  <c r="E20" i="2"/>
  <c r="G20" i="2" s="1"/>
  <c r="E21" i="2"/>
  <c r="G21" i="2" s="1"/>
  <c r="E23" i="2"/>
  <c r="G23" i="2" s="1"/>
  <c r="E24" i="2"/>
  <c r="E25" i="2"/>
  <c r="E26" i="2"/>
  <c r="G26" i="2" s="1"/>
  <c r="E27" i="2"/>
  <c r="G27" i="2" s="1"/>
  <c r="L28" i="7"/>
  <c r="L29" i="7" s="1"/>
  <c r="K28" i="7"/>
  <c r="K29" i="7" s="1"/>
  <c r="I28" i="7"/>
  <c r="I29" i="7" s="1"/>
  <c r="F28" i="7"/>
  <c r="F29" i="7" s="1"/>
  <c r="D28" i="7"/>
  <c r="C28" i="7"/>
  <c r="B28" i="7"/>
  <c r="M27" i="7"/>
  <c r="N27" i="7" s="1"/>
  <c r="H27" i="7"/>
  <c r="J27" i="7" s="1"/>
  <c r="E27" i="7"/>
  <c r="M26" i="7"/>
  <c r="N26" i="7" s="1"/>
  <c r="H26" i="7"/>
  <c r="J26" i="7" s="1"/>
  <c r="E26" i="7"/>
  <c r="M25" i="7"/>
  <c r="N25" i="7" s="1"/>
  <c r="J25" i="7"/>
  <c r="E25" i="7"/>
  <c r="M24" i="7"/>
  <c r="N24" i="7" s="1"/>
  <c r="J24" i="7"/>
  <c r="E24" i="7"/>
  <c r="G24" i="7" s="1"/>
  <c r="M23" i="7"/>
  <c r="N23" i="7" s="1"/>
  <c r="J23" i="7"/>
  <c r="E23" i="7"/>
  <c r="G23" i="7" s="1"/>
  <c r="M22" i="7"/>
  <c r="N22" i="7" s="1"/>
  <c r="J22" i="7"/>
  <c r="E22" i="7"/>
  <c r="G22" i="7" s="1"/>
  <c r="M21" i="7"/>
  <c r="N21" i="7" s="1"/>
  <c r="E21" i="7"/>
  <c r="G21" i="7" s="1"/>
  <c r="M20" i="7"/>
  <c r="N20" i="7" s="1"/>
  <c r="E20" i="7"/>
  <c r="M19" i="7"/>
  <c r="N19" i="7" s="1"/>
  <c r="H19" i="7"/>
  <c r="J19" i="7" s="1"/>
  <c r="E19" i="7"/>
  <c r="M18" i="7"/>
  <c r="N18" i="7" s="1"/>
  <c r="H18" i="7"/>
  <c r="J18" i="7" s="1"/>
  <c r="E18" i="7"/>
  <c r="M17" i="7"/>
  <c r="N17" i="7" s="1"/>
  <c r="H17" i="7"/>
  <c r="J17" i="7" s="1"/>
  <c r="E17" i="7"/>
  <c r="G17" i="7" s="1"/>
  <c r="M16" i="7"/>
  <c r="H16" i="7"/>
  <c r="J16" i="7" s="1"/>
  <c r="E16" i="7"/>
  <c r="L28" i="25"/>
  <c r="L29" i="25" s="1"/>
  <c r="K28" i="25"/>
  <c r="K29" i="25" s="1"/>
  <c r="I28" i="25"/>
  <c r="I29" i="25" s="1"/>
  <c r="F28" i="25"/>
  <c r="F29" i="25" s="1"/>
  <c r="D28" i="25"/>
  <c r="C28" i="25"/>
  <c r="B28" i="25"/>
  <c r="M27" i="25"/>
  <c r="N27" i="25" s="1"/>
  <c r="J27" i="25"/>
  <c r="E27" i="25"/>
  <c r="G27" i="25" s="1"/>
  <c r="M26" i="25"/>
  <c r="N26" i="25" s="1"/>
  <c r="J26" i="25"/>
  <c r="E26" i="25"/>
  <c r="G26" i="25" s="1"/>
  <c r="M25" i="25"/>
  <c r="N25" i="25" s="1"/>
  <c r="J25" i="25"/>
  <c r="E25" i="25"/>
  <c r="G25" i="25" s="1"/>
  <c r="M24" i="25"/>
  <c r="N24" i="25" s="1"/>
  <c r="J24" i="25"/>
  <c r="E24" i="25"/>
  <c r="G24" i="25"/>
  <c r="M23" i="25"/>
  <c r="N23" i="25" s="1"/>
  <c r="J23" i="25"/>
  <c r="E23" i="25"/>
  <c r="G23" i="25" s="1"/>
  <c r="M22" i="25"/>
  <c r="N22" i="25" s="1"/>
  <c r="J22" i="25"/>
  <c r="E22" i="25"/>
  <c r="G22" i="25" s="1"/>
  <c r="M21" i="25"/>
  <c r="N21" i="25" s="1"/>
  <c r="J21" i="25"/>
  <c r="E21" i="25"/>
  <c r="G21" i="25" s="1"/>
  <c r="M20" i="25"/>
  <c r="N20" i="25" s="1"/>
  <c r="J20" i="25"/>
  <c r="E20" i="25"/>
  <c r="G20" i="25" s="1"/>
  <c r="M19" i="25"/>
  <c r="N19" i="25" s="1"/>
  <c r="J19" i="25"/>
  <c r="E19" i="25"/>
  <c r="G19" i="25" s="1"/>
  <c r="M18" i="25"/>
  <c r="N18" i="25" s="1"/>
  <c r="J18" i="25"/>
  <c r="E18" i="25"/>
  <c r="G18" i="25" s="1"/>
  <c r="M17" i="25"/>
  <c r="N17" i="25" s="1"/>
  <c r="J17" i="25"/>
  <c r="E17" i="25"/>
  <c r="G17" i="25" s="1"/>
  <c r="M16" i="25"/>
  <c r="N16" i="25" s="1"/>
  <c r="J16" i="25"/>
  <c r="E16" i="25"/>
  <c r="L28" i="21"/>
  <c r="L29" i="21" s="1"/>
  <c r="K28" i="21"/>
  <c r="K29" i="21" s="1"/>
  <c r="I28" i="21"/>
  <c r="I29" i="21" s="1"/>
  <c r="F28" i="21"/>
  <c r="F29" i="21" s="1"/>
  <c r="D28" i="21"/>
  <c r="C28" i="21"/>
  <c r="B28" i="21"/>
  <c r="M27" i="21"/>
  <c r="N27" i="21" s="1"/>
  <c r="H27" i="21"/>
  <c r="J27" i="21" s="1"/>
  <c r="E27" i="21"/>
  <c r="M26" i="21"/>
  <c r="N26" i="21" s="1"/>
  <c r="H26" i="21"/>
  <c r="J26" i="21" s="1"/>
  <c r="E26" i="21"/>
  <c r="M25" i="21"/>
  <c r="N25" i="21" s="1"/>
  <c r="H25" i="21"/>
  <c r="J25" i="21" s="1"/>
  <c r="E25" i="21"/>
  <c r="M24" i="21"/>
  <c r="N24" i="21" s="1"/>
  <c r="H24" i="21"/>
  <c r="J24" i="21" s="1"/>
  <c r="E24" i="21"/>
  <c r="M23" i="21"/>
  <c r="N23" i="21" s="1"/>
  <c r="H23" i="21"/>
  <c r="J23" i="21" s="1"/>
  <c r="E23" i="21"/>
  <c r="M22" i="21"/>
  <c r="N22" i="21" s="1"/>
  <c r="H22" i="21"/>
  <c r="J22" i="21" s="1"/>
  <c r="E22" i="21"/>
  <c r="M21" i="21"/>
  <c r="N21" i="21" s="1"/>
  <c r="H21" i="21"/>
  <c r="J21" i="21" s="1"/>
  <c r="E21" i="21"/>
  <c r="M20" i="21"/>
  <c r="N20" i="21" s="1"/>
  <c r="H20" i="21"/>
  <c r="E20" i="21"/>
  <c r="M19" i="21"/>
  <c r="N19" i="21" s="1"/>
  <c r="H19" i="21"/>
  <c r="J19" i="21" s="1"/>
  <c r="E19" i="21"/>
  <c r="M18" i="21"/>
  <c r="N18" i="21" s="1"/>
  <c r="H18" i="21"/>
  <c r="J18" i="21" s="1"/>
  <c r="E18" i="21"/>
  <c r="M17" i="21"/>
  <c r="N17" i="21" s="1"/>
  <c r="H17" i="21"/>
  <c r="J17" i="21" s="1"/>
  <c r="E17" i="21"/>
  <c r="M16" i="21"/>
  <c r="N16" i="21" s="1"/>
  <c r="H16" i="21"/>
  <c r="E16" i="21"/>
  <c r="L28" i="5"/>
  <c r="L29" i="5" s="1"/>
  <c r="K28" i="5"/>
  <c r="K29" i="5" s="1"/>
  <c r="I28" i="5"/>
  <c r="I29" i="5" s="1"/>
  <c r="F28" i="5"/>
  <c r="F29" i="5" s="1"/>
  <c r="D28" i="5"/>
  <c r="C28" i="5"/>
  <c r="B28" i="5"/>
  <c r="M27" i="5"/>
  <c r="N27" i="5" s="1"/>
  <c r="H27" i="5"/>
  <c r="J27" i="5" s="1"/>
  <c r="E27" i="5"/>
  <c r="M26" i="5"/>
  <c r="N26" i="5" s="1"/>
  <c r="H26" i="5"/>
  <c r="J26" i="5" s="1"/>
  <c r="E26" i="5"/>
  <c r="M25" i="5"/>
  <c r="N25" i="5" s="1"/>
  <c r="H25" i="5"/>
  <c r="J25" i="5" s="1"/>
  <c r="E25" i="5"/>
  <c r="M24" i="5"/>
  <c r="N24" i="5" s="1"/>
  <c r="H24" i="5"/>
  <c r="J24" i="5" s="1"/>
  <c r="E24" i="5"/>
  <c r="M23" i="5"/>
  <c r="N23" i="5" s="1"/>
  <c r="H23" i="5"/>
  <c r="J23" i="5" s="1"/>
  <c r="E23" i="5"/>
  <c r="M22" i="5"/>
  <c r="N22" i="5" s="1"/>
  <c r="H22" i="5"/>
  <c r="J22" i="5" s="1"/>
  <c r="E22" i="5"/>
  <c r="M21" i="5"/>
  <c r="N21" i="5" s="1"/>
  <c r="H21" i="5"/>
  <c r="J21" i="5" s="1"/>
  <c r="E21" i="5"/>
  <c r="M20" i="5"/>
  <c r="N20" i="5" s="1"/>
  <c r="J20" i="5"/>
  <c r="E20" i="5"/>
  <c r="G20" i="5" s="1"/>
  <c r="M19" i="5"/>
  <c r="N19" i="5" s="1"/>
  <c r="H19" i="5"/>
  <c r="J19" i="5" s="1"/>
  <c r="E19" i="5"/>
  <c r="M18" i="5"/>
  <c r="N18" i="5" s="1"/>
  <c r="H18" i="5"/>
  <c r="J18" i="5" s="1"/>
  <c r="E18" i="5"/>
  <c r="M17" i="5"/>
  <c r="N17" i="5" s="1"/>
  <c r="H17" i="5"/>
  <c r="J17" i="5" s="1"/>
  <c r="E17" i="5"/>
  <c r="M16" i="5"/>
  <c r="H16" i="5"/>
  <c r="J16" i="5"/>
  <c r="E16" i="5"/>
  <c r="G16" i="5" s="1"/>
  <c r="L28" i="3"/>
  <c r="K28" i="3"/>
  <c r="K29" i="3" s="1"/>
  <c r="I28" i="3"/>
  <c r="I29" i="3" s="1"/>
  <c r="F28" i="3"/>
  <c r="F29" i="3" s="1"/>
  <c r="D28" i="3"/>
  <c r="C28" i="3"/>
  <c r="B28" i="3"/>
  <c r="M27" i="3"/>
  <c r="N27" i="3" s="1"/>
  <c r="H27" i="3"/>
  <c r="J27" i="3" s="1"/>
  <c r="E27" i="3"/>
  <c r="M26" i="3"/>
  <c r="N26" i="3" s="1"/>
  <c r="H26" i="3"/>
  <c r="J26" i="3" s="1"/>
  <c r="E26" i="3"/>
  <c r="M25" i="3"/>
  <c r="N25" i="3" s="1"/>
  <c r="H25" i="3"/>
  <c r="J25" i="3" s="1"/>
  <c r="E25" i="3"/>
  <c r="M24" i="3"/>
  <c r="N24" i="3" s="1"/>
  <c r="H24" i="3"/>
  <c r="J24" i="3" s="1"/>
  <c r="E24" i="3"/>
  <c r="M23" i="3"/>
  <c r="N23" i="3" s="1"/>
  <c r="H23" i="3"/>
  <c r="J23" i="3" s="1"/>
  <c r="E23" i="3"/>
  <c r="M22" i="3"/>
  <c r="N22" i="3" s="1"/>
  <c r="H22" i="3"/>
  <c r="J22" i="3" s="1"/>
  <c r="E22" i="3"/>
  <c r="M21" i="3"/>
  <c r="N21" i="3" s="1"/>
  <c r="H21" i="3"/>
  <c r="J21" i="3" s="1"/>
  <c r="E21" i="3"/>
  <c r="M20" i="3"/>
  <c r="N20" i="3" s="1"/>
  <c r="H20" i="3"/>
  <c r="J20" i="3" s="1"/>
  <c r="E20" i="3"/>
  <c r="M19" i="3"/>
  <c r="N19" i="3" s="1"/>
  <c r="H19" i="3"/>
  <c r="J19" i="3" s="1"/>
  <c r="E19" i="3"/>
  <c r="M18" i="3"/>
  <c r="N18" i="3" s="1"/>
  <c r="H18" i="3"/>
  <c r="J18" i="3" s="1"/>
  <c r="E18" i="3"/>
  <c r="M17" i="3"/>
  <c r="N17" i="3" s="1"/>
  <c r="H17" i="3"/>
  <c r="J17" i="3" s="1"/>
  <c r="E17" i="3"/>
  <c r="M16" i="3"/>
  <c r="N16" i="3" s="1"/>
  <c r="H16" i="3"/>
  <c r="J16" i="3" s="1"/>
  <c r="E16" i="3"/>
  <c r="G16" i="3" s="1"/>
  <c r="L28" i="14"/>
  <c r="L29" i="14" s="1"/>
  <c r="L28" i="29"/>
  <c r="K28" i="14"/>
  <c r="K28" i="13"/>
  <c r="K29" i="13" s="1"/>
  <c r="K28" i="24"/>
  <c r="K29" i="24" s="1"/>
  <c r="K28" i="29"/>
  <c r="K29" i="29" s="1"/>
  <c r="H28" i="14"/>
  <c r="F28" i="14"/>
  <c r="F28" i="13"/>
  <c r="F29" i="13" s="1"/>
  <c r="F28" i="24"/>
  <c r="F29" i="24" s="1"/>
  <c r="F28" i="29"/>
  <c r="F29" i="29" s="1"/>
  <c r="B28" i="14"/>
  <c r="B28" i="13"/>
  <c r="B28" i="24"/>
  <c r="B28" i="29"/>
  <c r="M16" i="13"/>
  <c r="N16" i="13" s="1"/>
  <c r="M17" i="13"/>
  <c r="M18" i="13"/>
  <c r="N18" i="13" s="1"/>
  <c r="M19" i="13"/>
  <c r="M20" i="13"/>
  <c r="N20" i="13" s="1"/>
  <c r="M21" i="13"/>
  <c r="N21" i="13" s="1"/>
  <c r="M22" i="13"/>
  <c r="N22" i="13" s="1"/>
  <c r="M23" i="13"/>
  <c r="N23" i="13" s="1"/>
  <c r="M24" i="13"/>
  <c r="N24" i="13" s="1"/>
  <c r="M25" i="13"/>
  <c r="N25" i="13" s="1"/>
  <c r="M26" i="13"/>
  <c r="N26" i="13" s="1"/>
  <c r="M27" i="13"/>
  <c r="N27" i="13" s="1"/>
  <c r="E16" i="13"/>
  <c r="G16" i="13" s="1"/>
  <c r="E17" i="13"/>
  <c r="G17" i="13" s="1"/>
  <c r="E18" i="13"/>
  <c r="G18" i="13" s="1"/>
  <c r="E19" i="13"/>
  <c r="G19" i="13" s="1"/>
  <c r="E20" i="13"/>
  <c r="G20" i="13" s="1"/>
  <c r="E21" i="13"/>
  <c r="G21" i="13" s="1"/>
  <c r="E22" i="13"/>
  <c r="G22" i="13" s="1"/>
  <c r="E23" i="13"/>
  <c r="E24" i="13"/>
  <c r="G24" i="13" s="1"/>
  <c r="E25" i="13"/>
  <c r="G25" i="13" s="1"/>
  <c r="E26" i="13"/>
  <c r="G26" i="13" s="1"/>
  <c r="E27" i="13"/>
  <c r="G27" i="13" s="1"/>
  <c r="L28" i="13"/>
  <c r="H28" i="13"/>
  <c r="H29" i="13" s="1"/>
  <c r="I28" i="13"/>
  <c r="I29" i="13" s="1"/>
  <c r="D28" i="13"/>
  <c r="C28" i="13"/>
  <c r="J27" i="13"/>
  <c r="J26" i="13"/>
  <c r="J25" i="13"/>
  <c r="J24" i="13"/>
  <c r="J23" i="13"/>
  <c r="J22" i="13"/>
  <c r="J21" i="13"/>
  <c r="J20" i="13"/>
  <c r="N19" i="13"/>
  <c r="J19" i="13"/>
  <c r="J18" i="13"/>
  <c r="N17" i="13"/>
  <c r="J17" i="13"/>
  <c r="J16" i="13"/>
  <c r="M16" i="24"/>
  <c r="N16" i="24" s="1"/>
  <c r="M17" i="24"/>
  <c r="N17" i="24" s="1"/>
  <c r="M18" i="24"/>
  <c r="N18" i="24" s="1"/>
  <c r="M19" i="24"/>
  <c r="N19" i="24" s="1"/>
  <c r="M20" i="24"/>
  <c r="N20" i="24" s="1"/>
  <c r="M21" i="24"/>
  <c r="N21" i="24" s="1"/>
  <c r="M22" i="24"/>
  <c r="N22" i="24" s="1"/>
  <c r="M23" i="24"/>
  <c r="N23" i="24" s="1"/>
  <c r="M24" i="24"/>
  <c r="N24" i="24" s="1"/>
  <c r="M25" i="24"/>
  <c r="N25" i="24" s="1"/>
  <c r="M26" i="24"/>
  <c r="N26" i="24" s="1"/>
  <c r="M27" i="24"/>
  <c r="N27" i="24" s="1"/>
  <c r="E16" i="24"/>
  <c r="G16" i="24" s="1"/>
  <c r="E17" i="24"/>
  <c r="G17" i="24" s="1"/>
  <c r="E18" i="24"/>
  <c r="G18" i="24" s="1"/>
  <c r="E19" i="24"/>
  <c r="G19" i="24" s="1"/>
  <c r="E20" i="24"/>
  <c r="G20" i="24" s="1"/>
  <c r="E21" i="24"/>
  <c r="G21" i="24" s="1"/>
  <c r="E22" i="24"/>
  <c r="G22" i="24" s="1"/>
  <c r="E23" i="24"/>
  <c r="G23" i="24" s="1"/>
  <c r="E24" i="24"/>
  <c r="G24" i="24" s="1"/>
  <c r="E25" i="24"/>
  <c r="G25" i="24" s="1"/>
  <c r="E26" i="24"/>
  <c r="G26" i="24" s="1"/>
  <c r="E27" i="24"/>
  <c r="G27" i="24" s="1"/>
  <c r="L28" i="24"/>
  <c r="L29" i="24" s="1"/>
  <c r="H28" i="24"/>
  <c r="H29" i="24" s="1"/>
  <c r="I28" i="24"/>
  <c r="I29" i="24" s="1"/>
  <c r="D28" i="24"/>
  <c r="C28" i="24"/>
  <c r="J27" i="24"/>
  <c r="J26" i="24"/>
  <c r="J25" i="24"/>
  <c r="J24" i="24"/>
  <c r="J23" i="24"/>
  <c r="J22" i="24"/>
  <c r="J21" i="24"/>
  <c r="J20" i="24"/>
  <c r="J19" i="24"/>
  <c r="J18" i="24"/>
  <c r="J17" i="24"/>
  <c r="J16" i="24"/>
  <c r="M16" i="14"/>
  <c r="N16" i="14" s="1"/>
  <c r="M17" i="14"/>
  <c r="N17" i="14" s="1"/>
  <c r="M18" i="14"/>
  <c r="M19" i="14"/>
  <c r="N19" i="14" s="1"/>
  <c r="M20" i="14"/>
  <c r="N20" i="14" s="1"/>
  <c r="M21" i="14"/>
  <c r="N21" i="14" s="1"/>
  <c r="M22" i="14"/>
  <c r="N22" i="14" s="1"/>
  <c r="M23" i="14"/>
  <c r="N23" i="14" s="1"/>
  <c r="M24" i="14"/>
  <c r="N24" i="14" s="1"/>
  <c r="M25" i="14"/>
  <c r="N25" i="14" s="1"/>
  <c r="M26" i="14"/>
  <c r="N26" i="14" s="1"/>
  <c r="M27" i="14"/>
  <c r="N27" i="14" s="1"/>
  <c r="E16" i="14"/>
  <c r="G16" i="14" s="1"/>
  <c r="E17" i="14"/>
  <c r="G17" i="14" s="1"/>
  <c r="E18" i="14"/>
  <c r="G18" i="14" s="1"/>
  <c r="E19" i="14"/>
  <c r="G19" i="14" s="1"/>
  <c r="E20" i="14"/>
  <c r="G20" i="14" s="1"/>
  <c r="E21" i="14"/>
  <c r="G21" i="14" s="1"/>
  <c r="E22" i="14"/>
  <c r="G22" i="14" s="1"/>
  <c r="E23" i="14"/>
  <c r="G23" i="14" s="1"/>
  <c r="E24" i="14"/>
  <c r="G24" i="14" s="1"/>
  <c r="E25" i="14"/>
  <c r="G25" i="14" s="1"/>
  <c r="E26" i="14"/>
  <c r="G26" i="14" s="1"/>
  <c r="E27" i="14"/>
  <c r="G27" i="14" s="1"/>
  <c r="I28" i="14"/>
  <c r="I29" i="14" s="1"/>
  <c r="H29" i="14"/>
  <c r="D28" i="14"/>
  <c r="C28" i="14"/>
  <c r="J27" i="14"/>
  <c r="J26" i="14"/>
  <c r="J25" i="14"/>
  <c r="J24" i="14"/>
  <c r="J23" i="14"/>
  <c r="J22" i="14"/>
  <c r="J21" i="14"/>
  <c r="J20" i="14"/>
  <c r="J19" i="14"/>
  <c r="N18" i="14"/>
  <c r="J18" i="14"/>
  <c r="J17" i="14"/>
  <c r="J16" i="14"/>
  <c r="M16" i="29"/>
  <c r="N16" i="29" s="1"/>
  <c r="M17" i="29"/>
  <c r="N17" i="29" s="1"/>
  <c r="M18" i="29"/>
  <c r="N18" i="29" s="1"/>
  <c r="M19" i="29"/>
  <c r="N19" i="29" s="1"/>
  <c r="M20" i="29"/>
  <c r="N20" i="29" s="1"/>
  <c r="M21" i="29"/>
  <c r="N21" i="29" s="1"/>
  <c r="M22" i="29"/>
  <c r="N22" i="29" s="1"/>
  <c r="M23" i="29"/>
  <c r="N23" i="29" s="1"/>
  <c r="M24" i="29"/>
  <c r="N24" i="29" s="1"/>
  <c r="M25" i="29"/>
  <c r="M26" i="29"/>
  <c r="N26" i="29" s="1"/>
  <c r="M27" i="29"/>
  <c r="N27" i="29" s="1"/>
  <c r="E16" i="29"/>
  <c r="G16" i="29" s="1"/>
  <c r="E17" i="29"/>
  <c r="G17" i="29" s="1"/>
  <c r="E18" i="29"/>
  <c r="G18" i="29" s="1"/>
  <c r="E19" i="29"/>
  <c r="G19" i="29" s="1"/>
  <c r="E20" i="29"/>
  <c r="G20" i="29" s="1"/>
  <c r="E21" i="29"/>
  <c r="G21" i="29" s="1"/>
  <c r="E22" i="29"/>
  <c r="G22" i="29" s="1"/>
  <c r="E23" i="29"/>
  <c r="G23" i="29" s="1"/>
  <c r="E24" i="29"/>
  <c r="G24" i="29" s="1"/>
  <c r="E25" i="29"/>
  <c r="E26" i="29"/>
  <c r="G26" i="29" s="1"/>
  <c r="E27" i="29"/>
  <c r="G27" i="29" s="1"/>
  <c r="H28" i="29"/>
  <c r="I28" i="29"/>
  <c r="I29" i="29" s="1"/>
  <c r="L29" i="29"/>
  <c r="D28" i="29"/>
  <c r="C28" i="29"/>
  <c r="J27" i="29"/>
  <c r="J26" i="29"/>
  <c r="N25" i="29"/>
  <c r="J25" i="29"/>
  <c r="G25" i="29"/>
  <c r="J24" i="29"/>
  <c r="J23" i="29"/>
  <c r="J22" i="29"/>
  <c r="J21" i="29"/>
  <c r="J20" i="29"/>
  <c r="J19" i="29"/>
  <c r="J18" i="29"/>
  <c r="J17" i="29"/>
  <c r="J16" i="29"/>
  <c r="M16" i="12"/>
  <c r="N16" i="12" s="1"/>
  <c r="M17" i="12"/>
  <c r="N17" i="12" s="1"/>
  <c r="M18" i="12"/>
  <c r="N18" i="12" s="1"/>
  <c r="M19" i="12"/>
  <c r="N19" i="12" s="1"/>
  <c r="M20" i="12"/>
  <c r="N20" i="12" s="1"/>
  <c r="M21" i="12"/>
  <c r="N21" i="12" s="1"/>
  <c r="M22" i="12"/>
  <c r="N22" i="12" s="1"/>
  <c r="M23" i="12"/>
  <c r="N23" i="12" s="1"/>
  <c r="M24" i="12"/>
  <c r="N24" i="12" s="1"/>
  <c r="M25" i="12"/>
  <c r="N25" i="12" s="1"/>
  <c r="M26" i="12"/>
  <c r="N26" i="12" s="1"/>
  <c r="M27" i="12"/>
  <c r="N27" i="12" s="1"/>
  <c r="E16" i="12"/>
  <c r="E17" i="12"/>
  <c r="E18" i="12"/>
  <c r="E19" i="12"/>
  <c r="E20" i="12"/>
  <c r="E21" i="12"/>
  <c r="E22" i="12"/>
  <c r="E23" i="12"/>
  <c r="E24" i="12"/>
  <c r="E25" i="12"/>
  <c r="E26" i="12"/>
  <c r="E27" i="12"/>
  <c r="L28" i="12"/>
  <c r="L29" i="12" s="1"/>
  <c r="K28" i="12"/>
  <c r="K29" i="12" s="1"/>
  <c r="H16" i="12"/>
  <c r="J16" i="12" s="1"/>
  <c r="H17" i="12"/>
  <c r="H18" i="12"/>
  <c r="J18" i="12" s="1"/>
  <c r="H19" i="12"/>
  <c r="J19" i="12" s="1"/>
  <c r="H20" i="12"/>
  <c r="J20" i="12" s="1"/>
  <c r="H21" i="12"/>
  <c r="J21" i="12" s="1"/>
  <c r="H22" i="12"/>
  <c r="J22" i="12" s="1"/>
  <c r="H23" i="12"/>
  <c r="J23" i="12" s="1"/>
  <c r="H24" i="12"/>
  <c r="J24" i="12" s="1"/>
  <c r="H25" i="12"/>
  <c r="J25" i="12" s="1"/>
  <c r="H26" i="12"/>
  <c r="J26" i="12" s="1"/>
  <c r="H27" i="12"/>
  <c r="J27" i="12" s="1"/>
  <c r="I28" i="12"/>
  <c r="I29" i="12" s="1"/>
  <c r="F28" i="12"/>
  <c r="F29" i="12" s="1"/>
  <c r="D28" i="12"/>
  <c r="C28" i="12"/>
  <c r="B28" i="12"/>
  <c r="M16" i="26"/>
  <c r="M17" i="26"/>
  <c r="N17" i="26" s="1"/>
  <c r="M18" i="26"/>
  <c r="N18" i="26" s="1"/>
  <c r="M19" i="26"/>
  <c r="N19" i="26" s="1"/>
  <c r="M20" i="26"/>
  <c r="N20" i="26" s="1"/>
  <c r="M21" i="26"/>
  <c r="M22" i="26"/>
  <c r="N22" i="26" s="1"/>
  <c r="M23" i="26"/>
  <c r="N23" i="26" s="1"/>
  <c r="M24" i="26"/>
  <c r="N24" i="26" s="1"/>
  <c r="M25" i="26"/>
  <c r="N25" i="26" s="1"/>
  <c r="M26" i="26"/>
  <c r="N26" i="26" s="1"/>
  <c r="M27" i="26"/>
  <c r="N27" i="26" s="1"/>
  <c r="E16" i="26"/>
  <c r="E17" i="26"/>
  <c r="E18" i="26"/>
  <c r="E19" i="26"/>
  <c r="E20" i="26"/>
  <c r="E21" i="26"/>
  <c r="E22" i="26"/>
  <c r="E23" i="26"/>
  <c r="E24" i="26"/>
  <c r="E25" i="26"/>
  <c r="E26" i="26"/>
  <c r="E27" i="26"/>
  <c r="L28" i="26"/>
  <c r="L29" i="26" s="1"/>
  <c r="K28" i="26"/>
  <c r="K29" i="26" s="1"/>
  <c r="H16" i="26"/>
  <c r="J16" i="26" s="1"/>
  <c r="H17" i="26"/>
  <c r="G17" i="26" s="1"/>
  <c r="H18" i="26"/>
  <c r="H19" i="26"/>
  <c r="H20" i="26"/>
  <c r="J20" i="26" s="1"/>
  <c r="H21" i="26"/>
  <c r="J21" i="26" s="1"/>
  <c r="H22" i="26"/>
  <c r="J22" i="26" s="1"/>
  <c r="H23" i="26"/>
  <c r="J23" i="26" s="1"/>
  <c r="H24" i="26"/>
  <c r="J24" i="26" s="1"/>
  <c r="H25" i="26"/>
  <c r="H26" i="26"/>
  <c r="H27" i="26"/>
  <c r="J27" i="26" s="1"/>
  <c r="I28" i="26"/>
  <c r="I29" i="26" s="1"/>
  <c r="F28" i="26"/>
  <c r="F29" i="26" s="1"/>
  <c r="D28" i="26"/>
  <c r="C28" i="26"/>
  <c r="B28" i="26"/>
  <c r="J26" i="26"/>
  <c r="N21" i="26"/>
  <c r="J19" i="26"/>
  <c r="M16" i="17"/>
  <c r="N16" i="17" s="1"/>
  <c r="M17" i="17"/>
  <c r="N17" i="17" s="1"/>
  <c r="M18" i="17"/>
  <c r="N18" i="17" s="1"/>
  <c r="M19" i="17"/>
  <c r="N19" i="17" s="1"/>
  <c r="M20" i="17"/>
  <c r="N20" i="17" s="1"/>
  <c r="M21" i="17"/>
  <c r="N21" i="17" s="1"/>
  <c r="M22" i="17"/>
  <c r="N22" i="17" s="1"/>
  <c r="M23" i="17"/>
  <c r="N23" i="17" s="1"/>
  <c r="M24" i="17"/>
  <c r="N24" i="17" s="1"/>
  <c r="M25" i="17"/>
  <c r="N25" i="17" s="1"/>
  <c r="M26" i="17"/>
  <c r="N26" i="17" s="1"/>
  <c r="M27" i="17"/>
  <c r="N27" i="17" s="1"/>
  <c r="E16" i="17"/>
  <c r="G16" i="17" s="1"/>
  <c r="E17" i="17"/>
  <c r="G17" i="17" s="1"/>
  <c r="E18" i="17"/>
  <c r="G18" i="17" s="1"/>
  <c r="E19" i="17"/>
  <c r="G19" i="17" s="1"/>
  <c r="E20" i="17"/>
  <c r="G20" i="17" s="1"/>
  <c r="E21" i="17"/>
  <c r="G21" i="17" s="1"/>
  <c r="E22" i="17"/>
  <c r="G22" i="17" s="1"/>
  <c r="E23" i="17"/>
  <c r="G23" i="17" s="1"/>
  <c r="E24" i="17"/>
  <c r="G24" i="17" s="1"/>
  <c r="E25" i="17"/>
  <c r="E26" i="17"/>
  <c r="E27" i="17"/>
  <c r="G27" i="17" s="1"/>
  <c r="L28" i="17"/>
  <c r="L29" i="17" s="1"/>
  <c r="K28" i="17"/>
  <c r="K29" i="17" s="1"/>
  <c r="H28" i="17"/>
  <c r="H29" i="17" s="1"/>
  <c r="I28" i="17"/>
  <c r="I29" i="17" s="1"/>
  <c r="F28" i="17"/>
  <c r="F29" i="17" s="1"/>
  <c r="D28" i="17"/>
  <c r="C28" i="17"/>
  <c r="B28" i="17"/>
  <c r="J27" i="17"/>
  <c r="J26" i="17"/>
  <c r="G26" i="17"/>
  <c r="J25" i="17"/>
  <c r="G25" i="17"/>
  <c r="J24" i="17"/>
  <c r="J23" i="17"/>
  <c r="J22" i="17"/>
  <c r="J21" i="17"/>
  <c r="J20" i="17"/>
  <c r="J19" i="17"/>
  <c r="J18" i="17"/>
  <c r="J17" i="17"/>
  <c r="J16" i="17"/>
  <c r="M16" i="2"/>
  <c r="N16" i="2" s="1"/>
  <c r="M17" i="2"/>
  <c r="N17" i="2" s="1"/>
  <c r="M18" i="2"/>
  <c r="M19" i="2"/>
  <c r="N19" i="2" s="1"/>
  <c r="M20" i="2"/>
  <c r="N20" i="2" s="1"/>
  <c r="M21" i="2"/>
  <c r="N21" i="2" s="1"/>
  <c r="M22" i="2"/>
  <c r="N22" i="2" s="1"/>
  <c r="M23" i="2"/>
  <c r="N23" i="2" s="1"/>
  <c r="M24" i="2"/>
  <c r="N24" i="2" s="1"/>
  <c r="M25" i="2"/>
  <c r="N25" i="2" s="1"/>
  <c r="M26" i="2"/>
  <c r="N26" i="2" s="1"/>
  <c r="M27" i="2"/>
  <c r="N27" i="2" s="1"/>
  <c r="L28" i="2"/>
  <c r="L29" i="2" s="1"/>
  <c r="K28" i="2"/>
  <c r="K29" i="2" s="1"/>
  <c r="H28" i="2"/>
  <c r="H29" i="2" s="1"/>
  <c r="I28" i="2"/>
  <c r="I29" i="2" s="1"/>
  <c r="F28" i="2"/>
  <c r="F29" i="2" s="1"/>
  <c r="D28" i="2"/>
  <c r="C28" i="2"/>
  <c r="B28" i="2"/>
  <c r="J27" i="2"/>
  <c r="J26" i="2"/>
  <c r="J25" i="2"/>
  <c r="G25" i="2"/>
  <c r="J24" i="2"/>
  <c r="G24" i="2"/>
  <c r="J21" i="2"/>
  <c r="J20" i="2"/>
  <c r="J19" i="2"/>
  <c r="N18" i="2"/>
  <c r="J18" i="2"/>
  <c r="J17" i="2"/>
  <c r="G17" i="2"/>
  <c r="J16" i="2"/>
  <c r="G16" i="2"/>
  <c r="H28" i="18"/>
  <c r="H29" i="18" s="1"/>
  <c r="K28" i="18"/>
  <c r="D23" i="18"/>
  <c r="E23" i="18" s="1"/>
  <c r="D27" i="23"/>
  <c r="D27" i="30" s="1"/>
  <c r="D26" i="23"/>
  <c r="H27" i="20"/>
  <c r="I27" i="20"/>
  <c r="L27" i="20"/>
  <c r="H26" i="20"/>
  <c r="I26" i="20"/>
  <c r="L26" i="20"/>
  <c r="H25" i="20"/>
  <c r="I25" i="20"/>
  <c r="L25" i="20"/>
  <c r="H24" i="20"/>
  <c r="I24" i="20"/>
  <c r="L24" i="20"/>
  <c r="C19" i="20"/>
  <c r="H19" i="20"/>
  <c r="K19" i="20"/>
  <c r="C18" i="20"/>
  <c r="E18" i="20" s="1"/>
  <c r="H18" i="20"/>
  <c r="K18" i="20"/>
  <c r="C17" i="20"/>
  <c r="E17" i="20" s="1"/>
  <c r="H17" i="20"/>
  <c r="K17" i="20"/>
  <c r="C16" i="20"/>
  <c r="E16" i="20" s="1"/>
  <c r="H16" i="20"/>
  <c r="K16" i="20"/>
  <c r="D27" i="18"/>
  <c r="E27" i="18" s="1"/>
  <c r="B27" i="20" s="1"/>
  <c r="C27" i="20"/>
  <c r="K27" i="20"/>
  <c r="D26" i="18"/>
  <c r="E26" i="18" s="1"/>
  <c r="C26" i="20"/>
  <c r="K26" i="20"/>
  <c r="M26" i="20" s="1"/>
  <c r="N26" i="20" s="1"/>
  <c r="D25" i="18"/>
  <c r="E25" i="18" s="1"/>
  <c r="D24" i="18"/>
  <c r="E24" i="18" s="1"/>
  <c r="M26" i="15"/>
  <c r="N26" i="15" s="1"/>
  <c r="M25" i="15"/>
  <c r="N25" i="15" s="1"/>
  <c r="M24" i="15"/>
  <c r="N24" i="15" s="1"/>
  <c r="M16" i="15"/>
  <c r="N16" i="15" s="1"/>
  <c r="M15" i="15"/>
  <c r="N15" i="15" s="1"/>
  <c r="M17" i="15"/>
  <c r="N17" i="15" s="1"/>
  <c r="M18" i="15"/>
  <c r="N18" i="15" s="1"/>
  <c r="I18" i="20"/>
  <c r="L18" i="20"/>
  <c r="I17" i="20"/>
  <c r="L17" i="20"/>
  <c r="I16" i="20"/>
  <c r="L16" i="20"/>
  <c r="E16" i="1"/>
  <c r="G16" i="1" s="1"/>
  <c r="J16" i="1"/>
  <c r="M16" i="1"/>
  <c r="N16" i="1" s="1"/>
  <c r="E17" i="1"/>
  <c r="G17" i="1" s="1"/>
  <c r="J17" i="1"/>
  <c r="M17" i="1"/>
  <c r="N17" i="1" s="1"/>
  <c r="E18" i="1"/>
  <c r="G18" i="1" s="1"/>
  <c r="J18" i="1"/>
  <c r="M18" i="1"/>
  <c r="N18" i="1" s="1"/>
  <c r="E19" i="1"/>
  <c r="G19" i="1" s="1"/>
  <c r="J19" i="1"/>
  <c r="M19" i="1"/>
  <c r="N19" i="1" s="1"/>
  <c r="E20" i="1"/>
  <c r="G20" i="1" s="1"/>
  <c r="J20" i="1"/>
  <c r="M20" i="1"/>
  <c r="N20" i="1" s="1"/>
  <c r="E21" i="1"/>
  <c r="G21" i="1" s="1"/>
  <c r="J21" i="1"/>
  <c r="M21" i="1"/>
  <c r="N21" i="1" s="1"/>
  <c r="E22" i="1"/>
  <c r="G22" i="1" s="1"/>
  <c r="J22" i="1"/>
  <c r="M22" i="1"/>
  <c r="N22" i="1" s="1"/>
  <c r="E23" i="1"/>
  <c r="G23" i="1" s="1"/>
  <c r="J23" i="1"/>
  <c r="M23" i="1"/>
  <c r="N23" i="1" s="1"/>
  <c r="E24" i="1"/>
  <c r="G24" i="1" s="1"/>
  <c r="J24" i="1"/>
  <c r="M24" i="1"/>
  <c r="N24" i="1" s="1"/>
  <c r="E25" i="1"/>
  <c r="G25" i="1" s="1"/>
  <c r="J25" i="1"/>
  <c r="M25" i="1"/>
  <c r="N25" i="1" s="1"/>
  <c r="E26" i="1"/>
  <c r="G26" i="1" s="1"/>
  <c r="J26" i="1"/>
  <c r="M26" i="1"/>
  <c r="N26" i="1" s="1"/>
  <c r="E27" i="1"/>
  <c r="G27" i="1" s="1"/>
  <c r="J27" i="1"/>
  <c r="M27" i="1"/>
  <c r="N27" i="1" s="1"/>
  <c r="B28" i="1"/>
  <c r="C28" i="1"/>
  <c r="D28" i="1"/>
  <c r="F28" i="1"/>
  <c r="F29" i="1" s="1"/>
  <c r="H28" i="1"/>
  <c r="H29" i="1" s="1"/>
  <c r="I28" i="1"/>
  <c r="I29" i="1" s="1"/>
  <c r="K28" i="1"/>
  <c r="L28" i="1"/>
  <c r="L29" i="1" s="1"/>
  <c r="E15" i="15"/>
  <c r="G15" i="15" s="1"/>
  <c r="J15" i="15"/>
  <c r="E16" i="15"/>
  <c r="G16" i="15"/>
  <c r="J16" i="15"/>
  <c r="E17" i="15"/>
  <c r="G17" i="15" s="1"/>
  <c r="J17" i="15"/>
  <c r="E18" i="15"/>
  <c r="G18" i="15" s="1"/>
  <c r="J18" i="15"/>
  <c r="E19" i="15"/>
  <c r="G19" i="15" s="1"/>
  <c r="J19" i="15"/>
  <c r="M19" i="15"/>
  <c r="N19" i="15" s="1"/>
  <c r="E20" i="15"/>
  <c r="G20" i="15" s="1"/>
  <c r="J20" i="15"/>
  <c r="M20" i="15"/>
  <c r="N20" i="15" s="1"/>
  <c r="E21" i="15"/>
  <c r="G21" i="15" s="1"/>
  <c r="J21" i="15"/>
  <c r="M21" i="15"/>
  <c r="N21" i="15" s="1"/>
  <c r="E22" i="15"/>
  <c r="G22" i="15" s="1"/>
  <c r="J22" i="15"/>
  <c r="M22" i="15"/>
  <c r="N22" i="15" s="1"/>
  <c r="E23" i="15"/>
  <c r="G23" i="15" s="1"/>
  <c r="J23" i="15"/>
  <c r="M23" i="15"/>
  <c r="N23" i="15" s="1"/>
  <c r="E24" i="15"/>
  <c r="G24" i="15" s="1"/>
  <c r="J24" i="15"/>
  <c r="E25" i="15"/>
  <c r="G25" i="15" s="1"/>
  <c r="J25" i="15"/>
  <c r="E26" i="15"/>
  <c r="G26" i="15" s="1"/>
  <c r="J26" i="15"/>
  <c r="B27" i="15"/>
  <c r="C27" i="15"/>
  <c r="D27" i="15"/>
  <c r="F27" i="15"/>
  <c r="F28" i="15" s="1"/>
  <c r="H27" i="15"/>
  <c r="K27" i="15"/>
  <c r="K28" i="15" s="1"/>
  <c r="I27" i="15"/>
  <c r="I28" i="15" s="1"/>
  <c r="L27" i="15"/>
  <c r="L28" i="15" s="1"/>
  <c r="E16" i="16"/>
  <c r="M16" i="16"/>
  <c r="N16" i="16" s="1"/>
  <c r="E17" i="16"/>
  <c r="M17" i="16"/>
  <c r="N17" i="16" s="1"/>
  <c r="E18" i="16"/>
  <c r="M18" i="16"/>
  <c r="N18" i="16" s="1"/>
  <c r="E19" i="16"/>
  <c r="M19" i="16"/>
  <c r="N19" i="16" s="1"/>
  <c r="E20" i="16"/>
  <c r="M20" i="16"/>
  <c r="N20" i="16" s="1"/>
  <c r="E21" i="16"/>
  <c r="M21" i="16"/>
  <c r="N21" i="16" s="1"/>
  <c r="E22" i="16"/>
  <c r="M22" i="16"/>
  <c r="N22" i="16" s="1"/>
  <c r="E23" i="16"/>
  <c r="M23" i="16"/>
  <c r="N23" i="16" s="1"/>
  <c r="E24" i="16"/>
  <c r="M24" i="16"/>
  <c r="N24" i="16" s="1"/>
  <c r="E26" i="16"/>
  <c r="M26" i="16" s="1"/>
  <c r="N26" i="16" s="1"/>
  <c r="E27" i="16"/>
  <c r="M27" i="16"/>
  <c r="N27" i="16" s="1"/>
  <c r="D28" i="16"/>
  <c r="K28" i="16"/>
  <c r="D16" i="18"/>
  <c r="E16" i="18" s="1"/>
  <c r="G16" i="18" s="1"/>
  <c r="J16" i="18"/>
  <c r="M16" i="18"/>
  <c r="N16" i="18" s="1"/>
  <c r="D17" i="18"/>
  <c r="E17" i="18" s="1"/>
  <c r="G17" i="18" s="1"/>
  <c r="J17" i="18"/>
  <c r="M17" i="18"/>
  <c r="N17" i="18" s="1"/>
  <c r="D18" i="18"/>
  <c r="E18" i="18" s="1"/>
  <c r="G18" i="18" s="1"/>
  <c r="J18" i="18"/>
  <c r="M18" i="18"/>
  <c r="N18" i="18" s="1"/>
  <c r="D19" i="18"/>
  <c r="E19" i="18" s="1"/>
  <c r="B19" i="20" s="1"/>
  <c r="J19" i="18"/>
  <c r="M19" i="18"/>
  <c r="N19" i="18" s="1"/>
  <c r="D20" i="18"/>
  <c r="E20" i="18" s="1"/>
  <c r="J20" i="18"/>
  <c r="M20" i="18"/>
  <c r="N20" i="18" s="1"/>
  <c r="J21" i="18"/>
  <c r="M21" i="18"/>
  <c r="N21" i="18" s="1"/>
  <c r="E22" i="18"/>
  <c r="J22" i="18"/>
  <c r="M22" i="18"/>
  <c r="N22" i="18" s="1"/>
  <c r="J23" i="18"/>
  <c r="M23" i="18"/>
  <c r="N23" i="18" s="1"/>
  <c r="J24" i="18"/>
  <c r="M24" i="18"/>
  <c r="N24" i="18" s="1"/>
  <c r="J25" i="18"/>
  <c r="M25" i="18"/>
  <c r="N25" i="18" s="1"/>
  <c r="J26" i="18"/>
  <c r="M26" i="18"/>
  <c r="N26" i="18" s="1"/>
  <c r="G27" i="18"/>
  <c r="J27" i="18"/>
  <c r="M27" i="18"/>
  <c r="N27" i="18" s="1"/>
  <c r="B28" i="18"/>
  <c r="C28" i="18"/>
  <c r="F28" i="18"/>
  <c r="F29" i="18" s="1"/>
  <c r="I28" i="18"/>
  <c r="I29" i="18" s="1"/>
  <c r="L28" i="18"/>
  <c r="L29" i="18" s="1"/>
  <c r="E16" i="19"/>
  <c r="G16" i="19" s="1"/>
  <c r="J16" i="19"/>
  <c r="M16" i="19"/>
  <c r="N16" i="19" s="1"/>
  <c r="E17" i="19"/>
  <c r="G17" i="19" s="1"/>
  <c r="J17" i="19"/>
  <c r="M17" i="19"/>
  <c r="N17" i="19" s="1"/>
  <c r="E18" i="19"/>
  <c r="G18" i="19" s="1"/>
  <c r="J18" i="19"/>
  <c r="M18" i="19"/>
  <c r="N18" i="19" s="1"/>
  <c r="E19" i="19"/>
  <c r="G19" i="19" s="1"/>
  <c r="J19" i="19"/>
  <c r="M19" i="19"/>
  <c r="N19" i="19" s="1"/>
  <c r="E20" i="19"/>
  <c r="G20" i="19" s="1"/>
  <c r="J20" i="19"/>
  <c r="M20" i="19"/>
  <c r="N20" i="19" s="1"/>
  <c r="E21" i="19"/>
  <c r="G21" i="19" s="1"/>
  <c r="J21" i="19"/>
  <c r="M21" i="19"/>
  <c r="N21" i="19" s="1"/>
  <c r="E22" i="19"/>
  <c r="G22" i="19" s="1"/>
  <c r="J22" i="19"/>
  <c r="M22" i="19"/>
  <c r="N22" i="19" s="1"/>
  <c r="E23" i="19"/>
  <c r="G23" i="19" s="1"/>
  <c r="J23" i="19"/>
  <c r="M23" i="19"/>
  <c r="N23" i="19" s="1"/>
  <c r="E24" i="19"/>
  <c r="G24" i="19" s="1"/>
  <c r="J24" i="19"/>
  <c r="M24" i="19"/>
  <c r="N24" i="19" s="1"/>
  <c r="E25" i="19"/>
  <c r="G25" i="19" s="1"/>
  <c r="J25" i="19"/>
  <c r="M25" i="19"/>
  <c r="N25" i="19" s="1"/>
  <c r="E26" i="19"/>
  <c r="G26" i="19" s="1"/>
  <c r="J26" i="19"/>
  <c r="M26" i="19"/>
  <c r="N26" i="19" s="1"/>
  <c r="E27" i="19"/>
  <c r="G27" i="19" s="1"/>
  <c r="J27" i="19"/>
  <c r="M27" i="19"/>
  <c r="N27" i="19" s="1"/>
  <c r="B28" i="19"/>
  <c r="C28" i="19"/>
  <c r="D28" i="19"/>
  <c r="F28" i="19"/>
  <c r="F29" i="19" s="1"/>
  <c r="H28" i="19"/>
  <c r="H29" i="19" s="1"/>
  <c r="K28" i="19"/>
  <c r="K29" i="19" s="1"/>
  <c r="I28" i="19"/>
  <c r="I29" i="19" s="1"/>
  <c r="L28" i="19"/>
  <c r="L29" i="19" s="1"/>
  <c r="I19" i="20"/>
  <c r="L19" i="20"/>
  <c r="C20" i="20"/>
  <c r="H20" i="20"/>
  <c r="K20" i="20"/>
  <c r="I20" i="20"/>
  <c r="L20" i="20"/>
  <c r="C21" i="20"/>
  <c r="H21" i="20"/>
  <c r="K21" i="20"/>
  <c r="I21" i="20"/>
  <c r="L21" i="20"/>
  <c r="C22" i="20"/>
  <c r="H22" i="20"/>
  <c r="K22" i="20"/>
  <c r="I22" i="20"/>
  <c r="L22" i="20"/>
  <c r="C23" i="20"/>
  <c r="H23" i="20"/>
  <c r="K23" i="20"/>
  <c r="I23" i="20"/>
  <c r="L23" i="20"/>
  <c r="C24" i="20"/>
  <c r="K24" i="20"/>
  <c r="C25" i="20"/>
  <c r="K25" i="20"/>
  <c r="D28" i="20"/>
  <c r="F28" i="20"/>
  <c r="F29" i="20" s="1"/>
  <c r="E16" i="22"/>
  <c r="G16" i="22" s="1"/>
  <c r="J16" i="22"/>
  <c r="M16" i="22"/>
  <c r="N16" i="22" s="1"/>
  <c r="E17" i="22"/>
  <c r="G17" i="22" s="1"/>
  <c r="J17" i="22"/>
  <c r="M17" i="22"/>
  <c r="N17" i="22" s="1"/>
  <c r="E18" i="22"/>
  <c r="G18" i="22" s="1"/>
  <c r="J18" i="22"/>
  <c r="M18" i="22"/>
  <c r="N18" i="22" s="1"/>
  <c r="E19" i="22"/>
  <c r="G19" i="22" s="1"/>
  <c r="J19" i="22"/>
  <c r="M19" i="22"/>
  <c r="N19" i="22" s="1"/>
  <c r="E20" i="22"/>
  <c r="G20" i="22" s="1"/>
  <c r="J20" i="22"/>
  <c r="M20" i="22"/>
  <c r="N20" i="22" s="1"/>
  <c r="E21" i="22"/>
  <c r="G21" i="22" s="1"/>
  <c r="J21" i="22"/>
  <c r="M21" i="22"/>
  <c r="N21" i="22" s="1"/>
  <c r="E22" i="22"/>
  <c r="G22" i="22" s="1"/>
  <c r="J22" i="22"/>
  <c r="M22" i="22"/>
  <c r="N22" i="22" s="1"/>
  <c r="E23" i="22"/>
  <c r="G23" i="22" s="1"/>
  <c r="J23" i="22"/>
  <c r="M23" i="22"/>
  <c r="N23" i="22" s="1"/>
  <c r="E24" i="22"/>
  <c r="G24" i="22" s="1"/>
  <c r="J24" i="22"/>
  <c r="M24" i="22"/>
  <c r="N24" i="22" s="1"/>
  <c r="E25" i="22"/>
  <c r="G25" i="22" s="1"/>
  <c r="J25" i="22"/>
  <c r="M25" i="22"/>
  <c r="N25" i="22" s="1"/>
  <c r="E26" i="22"/>
  <c r="G26" i="22" s="1"/>
  <c r="J26" i="22"/>
  <c r="M26" i="22"/>
  <c r="N26" i="22" s="1"/>
  <c r="E27" i="22"/>
  <c r="G27" i="22" s="1"/>
  <c r="J27" i="22"/>
  <c r="M27" i="22"/>
  <c r="N27" i="22" s="1"/>
  <c r="B28" i="22"/>
  <c r="C28" i="22"/>
  <c r="D28" i="22"/>
  <c r="F28" i="22"/>
  <c r="F29" i="22" s="1"/>
  <c r="H28" i="22"/>
  <c r="H29" i="22" s="1"/>
  <c r="K28" i="22"/>
  <c r="K29" i="22" s="1"/>
  <c r="I28" i="22"/>
  <c r="I29" i="22" s="1"/>
  <c r="L28" i="22"/>
  <c r="E16" i="23"/>
  <c r="G16" i="23" s="1"/>
  <c r="J16" i="23"/>
  <c r="M16" i="23"/>
  <c r="N16" i="23" s="1"/>
  <c r="E17" i="23"/>
  <c r="E17" i="30" s="1"/>
  <c r="J17" i="23"/>
  <c r="M17" i="23"/>
  <c r="N17" i="23" s="1"/>
  <c r="E18" i="23"/>
  <c r="G18" i="23" s="1"/>
  <c r="J18" i="23"/>
  <c r="J18" i="30" s="1"/>
  <c r="M18" i="23"/>
  <c r="N18" i="23" s="1"/>
  <c r="E19" i="23"/>
  <c r="G19" i="23" s="1"/>
  <c r="J19" i="23"/>
  <c r="J19" i="30" s="1"/>
  <c r="M19" i="23"/>
  <c r="N19" i="23" s="1"/>
  <c r="E20" i="23"/>
  <c r="G20" i="23" s="1"/>
  <c r="J20" i="23"/>
  <c r="M20" i="23"/>
  <c r="N20" i="23" s="1"/>
  <c r="G21" i="23"/>
  <c r="J21" i="23"/>
  <c r="M21" i="23"/>
  <c r="N21" i="23" s="1"/>
  <c r="E22" i="23"/>
  <c r="G22" i="23" s="1"/>
  <c r="J22" i="23"/>
  <c r="M22" i="23"/>
  <c r="N22" i="23" s="1"/>
  <c r="E23" i="23"/>
  <c r="G23" i="23" s="1"/>
  <c r="J23" i="23"/>
  <c r="M23" i="23"/>
  <c r="N23" i="23" s="1"/>
  <c r="E24" i="23"/>
  <c r="G24" i="23" s="1"/>
  <c r="J24" i="23"/>
  <c r="M24" i="23"/>
  <c r="N24" i="23" s="1"/>
  <c r="J25" i="23"/>
  <c r="J25" i="30" s="1"/>
  <c r="M25" i="23"/>
  <c r="N25" i="23" s="1"/>
  <c r="J26" i="23"/>
  <c r="M26" i="23"/>
  <c r="N26" i="23" s="1"/>
  <c r="E27" i="23"/>
  <c r="G27" i="23" s="1"/>
  <c r="J27" i="23"/>
  <c r="M27" i="23"/>
  <c r="N27" i="23" s="1"/>
  <c r="B28" i="23"/>
  <c r="C28" i="23"/>
  <c r="F28" i="23"/>
  <c r="F29" i="23" s="1"/>
  <c r="H28" i="23"/>
  <c r="H29" i="23" s="1"/>
  <c r="K28" i="23"/>
  <c r="K29" i="23" s="1"/>
  <c r="I28" i="23"/>
  <c r="I29" i="23" s="1"/>
  <c r="L28" i="23"/>
  <c r="L29" i="23" s="1"/>
  <c r="B16" i="30"/>
  <c r="C16" i="30"/>
  <c r="D16" i="30"/>
  <c r="F16" i="30"/>
  <c r="H16" i="30"/>
  <c r="I16" i="30"/>
  <c r="K16" i="30"/>
  <c r="L16" i="30"/>
  <c r="B17" i="30"/>
  <c r="C17" i="30"/>
  <c r="D17" i="30"/>
  <c r="F17" i="30"/>
  <c r="H17" i="30"/>
  <c r="I17" i="30"/>
  <c r="K17" i="30"/>
  <c r="L17" i="30"/>
  <c r="B18" i="30"/>
  <c r="C18" i="30"/>
  <c r="D18" i="30"/>
  <c r="E18" i="30"/>
  <c r="F18" i="30"/>
  <c r="H18" i="30"/>
  <c r="I18" i="30"/>
  <c r="K18" i="30"/>
  <c r="L18" i="30"/>
  <c r="B19" i="30"/>
  <c r="C19" i="30"/>
  <c r="D19" i="30"/>
  <c r="F19" i="30"/>
  <c r="H19" i="30"/>
  <c r="I19" i="30"/>
  <c r="K19" i="30"/>
  <c r="L19" i="30"/>
  <c r="B20" i="30"/>
  <c r="C20" i="30"/>
  <c r="D20" i="30"/>
  <c r="F20" i="30"/>
  <c r="H20" i="30"/>
  <c r="I20" i="30"/>
  <c r="K20" i="30"/>
  <c r="L20" i="30"/>
  <c r="B21" i="30"/>
  <c r="C21" i="30"/>
  <c r="D21" i="30"/>
  <c r="F21" i="30"/>
  <c r="H21" i="30"/>
  <c r="I21" i="30"/>
  <c r="K21" i="30"/>
  <c r="L21" i="30"/>
  <c r="B22" i="30"/>
  <c r="C22" i="30"/>
  <c r="D22" i="30"/>
  <c r="F22" i="30"/>
  <c r="H22" i="30"/>
  <c r="I22" i="30"/>
  <c r="K22" i="30"/>
  <c r="L22" i="30"/>
  <c r="B23" i="30"/>
  <c r="C23" i="30"/>
  <c r="D23" i="30"/>
  <c r="F23" i="30"/>
  <c r="H23" i="30"/>
  <c r="I23" i="30"/>
  <c r="K23" i="30"/>
  <c r="L23" i="30"/>
  <c r="B24" i="30"/>
  <c r="C24" i="30"/>
  <c r="D24" i="30"/>
  <c r="F24" i="30"/>
  <c r="H24" i="30"/>
  <c r="I24" i="30"/>
  <c r="K24" i="30"/>
  <c r="L24" i="30"/>
  <c r="B25" i="30"/>
  <c r="C25" i="30"/>
  <c r="F25" i="30"/>
  <c r="H25" i="30"/>
  <c r="I25" i="30"/>
  <c r="K25" i="30"/>
  <c r="L25" i="30"/>
  <c r="B26" i="30"/>
  <c r="C26" i="30"/>
  <c r="F26" i="30"/>
  <c r="H26" i="30"/>
  <c r="I26" i="30"/>
  <c r="K26" i="30"/>
  <c r="L26" i="30"/>
  <c r="B27" i="30"/>
  <c r="C27" i="30"/>
  <c r="F27" i="30"/>
  <c r="H27" i="30"/>
  <c r="I27" i="30"/>
  <c r="K27" i="30"/>
  <c r="L27" i="30"/>
  <c r="H29" i="29"/>
  <c r="N16" i="7"/>
  <c r="H28" i="25"/>
  <c r="G16" i="25"/>
  <c r="N16" i="5"/>
  <c r="M18" i="30" l="1"/>
  <c r="N18" i="30" s="1"/>
  <c r="G25" i="3"/>
  <c r="G20" i="26"/>
  <c r="G19" i="30"/>
  <c r="G19" i="26"/>
  <c r="G27" i="30"/>
  <c r="G25" i="12"/>
  <c r="M17" i="20"/>
  <c r="N17" i="20" s="1"/>
  <c r="G27" i="7"/>
  <c r="G17" i="12"/>
  <c r="G17" i="23"/>
  <c r="G17" i="30" s="1"/>
  <c r="G18" i="26"/>
  <c r="G16" i="7"/>
  <c r="M27" i="20"/>
  <c r="N27" i="20" s="1"/>
  <c r="M25" i="20"/>
  <c r="N25" i="20" s="1"/>
  <c r="J26" i="30"/>
  <c r="J17" i="26"/>
  <c r="G25" i="26"/>
  <c r="G27" i="21"/>
  <c r="E21" i="18"/>
  <c r="G21" i="18" s="1"/>
  <c r="G16" i="21"/>
  <c r="G26" i="26"/>
  <c r="G16" i="26"/>
  <c r="G26" i="3"/>
  <c r="G25" i="21"/>
  <c r="D28" i="23"/>
  <c r="J17" i="30"/>
  <c r="J18" i="20"/>
  <c r="G17" i="3"/>
  <c r="G18" i="5"/>
  <c r="G26" i="5"/>
  <c r="M17" i="30"/>
  <c r="N17" i="30" s="1"/>
  <c r="M19" i="20"/>
  <c r="N19" i="20" s="1"/>
  <c r="M24" i="20"/>
  <c r="N24" i="20" s="1"/>
  <c r="M28" i="26"/>
  <c r="N28" i="26" s="1"/>
  <c r="B26" i="20"/>
  <c r="E26" i="20" s="1"/>
  <c r="G26" i="20" s="1"/>
  <c r="G26" i="18"/>
  <c r="M16" i="20"/>
  <c r="N16" i="20" s="1"/>
  <c r="J17" i="12"/>
  <c r="G17" i="21"/>
  <c r="G16" i="12"/>
  <c r="G26" i="7"/>
  <c r="J19" i="20"/>
  <c r="J27" i="30"/>
  <c r="G24" i="26"/>
  <c r="G27" i="12"/>
  <c r="G27" i="3"/>
  <c r="G18" i="21"/>
  <c r="G22" i="26"/>
  <c r="G21" i="26"/>
  <c r="G19" i="7"/>
  <c r="G23" i="26"/>
  <c r="H28" i="4"/>
  <c r="H29" i="4" s="1"/>
  <c r="M20" i="20"/>
  <c r="N20" i="20" s="1"/>
  <c r="J16" i="30"/>
  <c r="J25" i="26"/>
  <c r="M26" i="30"/>
  <c r="N26" i="30" s="1"/>
  <c r="G18" i="3"/>
  <c r="J16" i="21"/>
  <c r="H28" i="7"/>
  <c r="H29" i="7" s="1"/>
  <c r="B28" i="4"/>
  <c r="G21" i="5"/>
  <c r="G24" i="3"/>
  <c r="J23" i="30"/>
  <c r="B25" i="20"/>
  <c r="E25" i="20" s="1"/>
  <c r="G25" i="20" s="1"/>
  <c r="G25" i="18"/>
  <c r="G16" i="20"/>
  <c r="G16" i="30"/>
  <c r="J27" i="20"/>
  <c r="N16" i="26"/>
  <c r="G19" i="3"/>
  <c r="G17" i="5"/>
  <c r="G25" i="5"/>
  <c r="G26" i="21"/>
  <c r="G18" i="7"/>
  <c r="M19" i="30"/>
  <c r="N19" i="30" s="1"/>
  <c r="J25" i="20"/>
  <c r="M18" i="20"/>
  <c r="N18" i="20" s="1"/>
  <c r="E16" i="30"/>
  <c r="E26" i="23"/>
  <c r="G18" i="30"/>
  <c r="J26" i="20"/>
  <c r="J18" i="26"/>
  <c r="L28" i="4"/>
  <c r="M28" i="25"/>
  <c r="M29" i="25" s="1"/>
  <c r="K29" i="14"/>
  <c r="K28" i="4"/>
  <c r="E27" i="30"/>
  <c r="D26" i="30"/>
  <c r="G27" i="26"/>
  <c r="F29" i="14"/>
  <c r="F28" i="4"/>
  <c r="G19" i="5"/>
  <c r="G27" i="5"/>
  <c r="G20" i="21"/>
  <c r="N28" i="18"/>
  <c r="G25" i="7"/>
  <c r="M28" i="7"/>
  <c r="M29" i="7" s="1"/>
  <c r="J21" i="30"/>
  <c r="M28" i="3"/>
  <c r="M29" i="3" s="1"/>
  <c r="G21" i="21"/>
  <c r="M28" i="1"/>
  <c r="M29" i="1" s="1"/>
  <c r="K29" i="1" s="1"/>
  <c r="H28" i="5"/>
  <c r="H29" i="5" s="1"/>
  <c r="H28" i="21"/>
  <c r="H29" i="21" s="1"/>
  <c r="D28" i="18"/>
  <c r="E23" i="30"/>
  <c r="E20" i="30"/>
  <c r="M28" i="22"/>
  <c r="M29" i="22" s="1"/>
  <c r="E28" i="22"/>
  <c r="F30" i="22" s="1"/>
  <c r="E28" i="1"/>
  <c r="L30" i="1" s="1"/>
  <c r="J24" i="30"/>
  <c r="E22" i="30"/>
  <c r="J28" i="19"/>
  <c r="J29" i="19" s="1"/>
  <c r="K29" i="18"/>
  <c r="M21" i="20"/>
  <c r="N21" i="20" s="1"/>
  <c r="J28" i="25"/>
  <c r="J29" i="25" s="1"/>
  <c r="M28" i="17"/>
  <c r="M29" i="17" s="1"/>
  <c r="M28" i="2"/>
  <c r="E28" i="2"/>
  <c r="E29" i="2" s="1"/>
  <c r="G22" i="5"/>
  <c r="M27" i="30"/>
  <c r="N27" i="30" s="1"/>
  <c r="M16" i="30"/>
  <c r="N16" i="30" s="1"/>
  <c r="G19" i="18"/>
  <c r="J16" i="20"/>
  <c r="J17" i="20"/>
  <c r="E27" i="20"/>
  <c r="G27" i="20" s="1"/>
  <c r="G17" i="20"/>
  <c r="E19" i="20"/>
  <c r="G19" i="20" s="1"/>
  <c r="G19" i="12"/>
  <c r="G23" i="3"/>
  <c r="G19" i="21"/>
  <c r="G24" i="21"/>
  <c r="H28" i="26"/>
  <c r="J28" i="26" s="1"/>
  <c r="J29" i="26" s="1"/>
  <c r="E28" i="26"/>
  <c r="E30" i="26" s="1"/>
  <c r="G26" i="12"/>
  <c r="E28" i="12"/>
  <c r="I30" i="12" s="1"/>
  <c r="E28" i="13"/>
  <c r="G28" i="13" s="1"/>
  <c r="J28" i="14"/>
  <c r="J29" i="14" s="1"/>
  <c r="J28" i="31"/>
  <c r="J29" i="31" s="1"/>
  <c r="G18" i="12"/>
  <c r="J20" i="21"/>
  <c r="G22" i="21"/>
  <c r="G20" i="12"/>
  <c r="G23" i="5"/>
  <c r="G23" i="21"/>
  <c r="J28" i="1"/>
  <c r="J20" i="30"/>
  <c r="E25" i="23"/>
  <c r="E25" i="30" s="1"/>
  <c r="D25" i="30"/>
  <c r="J22" i="30"/>
  <c r="L28" i="30"/>
  <c r="L29" i="30" s="1"/>
  <c r="H29" i="25"/>
  <c r="J28" i="2"/>
  <c r="J29" i="2" s="1"/>
  <c r="H28" i="12"/>
  <c r="M28" i="12"/>
  <c r="M28" i="21"/>
  <c r="M29" i="21" s="1"/>
  <c r="G22" i="3"/>
  <c r="G21" i="3"/>
  <c r="M28" i="5"/>
  <c r="G20" i="18"/>
  <c r="B20" i="20"/>
  <c r="E20" i="20" s="1"/>
  <c r="G20" i="20" s="1"/>
  <c r="J20" i="20"/>
  <c r="B28" i="30"/>
  <c r="J27" i="15"/>
  <c r="J28" i="15" s="1"/>
  <c r="G21" i="12"/>
  <c r="G24" i="5"/>
  <c r="M25" i="30"/>
  <c r="N25" i="30" s="1"/>
  <c r="M24" i="30"/>
  <c r="N24" i="30" s="1"/>
  <c r="M28" i="18"/>
  <c r="M29" i="18" s="1"/>
  <c r="L28" i="20"/>
  <c r="L29" i="20" s="1"/>
  <c r="K28" i="20"/>
  <c r="K29" i="20" s="1"/>
  <c r="J22" i="20"/>
  <c r="J28" i="18"/>
  <c r="J29" i="18" s="1"/>
  <c r="G23" i="18"/>
  <c r="B23" i="20"/>
  <c r="E23" i="20" s="1"/>
  <c r="G23" i="20" s="1"/>
  <c r="J23" i="20"/>
  <c r="M28" i="19"/>
  <c r="M29" i="19" s="1"/>
  <c r="J24" i="20"/>
  <c r="I28" i="20"/>
  <c r="I29" i="20" s="1"/>
  <c r="J21" i="20"/>
  <c r="H28" i="20"/>
  <c r="H29" i="20" s="1"/>
  <c r="J28" i="23"/>
  <c r="J29" i="23" s="1"/>
  <c r="E24" i="30"/>
  <c r="E21" i="30"/>
  <c r="E19" i="30"/>
  <c r="H28" i="15"/>
  <c r="M22" i="30"/>
  <c r="N22" i="30" s="1"/>
  <c r="K28" i="30"/>
  <c r="K29" i="30" s="1"/>
  <c r="F28" i="30"/>
  <c r="F29" i="30" s="1"/>
  <c r="J28" i="17"/>
  <c r="J29" i="17" s="1"/>
  <c r="E28" i="29"/>
  <c r="I30" i="29" s="1"/>
  <c r="G23" i="13"/>
  <c r="E28" i="19"/>
  <c r="H30" i="19" s="1"/>
  <c r="E28" i="3"/>
  <c r="E30" i="3" s="1"/>
  <c r="E28" i="21"/>
  <c r="E27" i="15"/>
  <c r="L29" i="13"/>
  <c r="E28" i="17"/>
  <c r="E29" i="17" s="1"/>
  <c r="G23" i="12"/>
  <c r="G22" i="12"/>
  <c r="J28" i="24"/>
  <c r="J29" i="24" s="1"/>
  <c r="J28" i="13"/>
  <c r="J29" i="13" s="1"/>
  <c r="J28" i="22"/>
  <c r="M28" i="31"/>
  <c r="E28" i="31"/>
  <c r="J28" i="29"/>
  <c r="J29" i="29" s="1"/>
  <c r="M21" i="30"/>
  <c r="N21" i="30" s="1"/>
  <c r="M27" i="15"/>
  <c r="M20" i="30"/>
  <c r="N20" i="30" s="1"/>
  <c r="H28" i="30"/>
  <c r="H29" i="30" s="1"/>
  <c r="G20" i="7"/>
  <c r="G24" i="12"/>
  <c r="E28" i="25"/>
  <c r="M28" i="24"/>
  <c r="M29" i="24" s="1"/>
  <c r="E28" i="24"/>
  <c r="I30" i="24" s="1"/>
  <c r="N28" i="19"/>
  <c r="C28" i="20"/>
  <c r="M23" i="20"/>
  <c r="N23" i="20" s="1"/>
  <c r="M22" i="20"/>
  <c r="N22" i="20" s="1"/>
  <c r="G24" i="18"/>
  <c r="B24" i="20"/>
  <c r="E24" i="20" s="1"/>
  <c r="G24" i="20" s="1"/>
  <c r="G22" i="18"/>
  <c r="B22" i="20"/>
  <c r="E28" i="18"/>
  <c r="I30" i="18" s="1"/>
  <c r="M28" i="13"/>
  <c r="M29" i="13" s="1"/>
  <c r="E28" i="7"/>
  <c r="E28" i="5"/>
  <c r="L29" i="3"/>
  <c r="H28" i="3"/>
  <c r="G20" i="3"/>
  <c r="M28" i="14"/>
  <c r="M29" i="14" s="1"/>
  <c r="E28" i="14"/>
  <c r="L29" i="22"/>
  <c r="C28" i="30"/>
  <c r="M28" i="23"/>
  <c r="N28" i="23" s="1"/>
  <c r="I28" i="30"/>
  <c r="I29" i="30" s="1"/>
  <c r="G24" i="30"/>
  <c r="G23" i="30"/>
  <c r="G22" i="30"/>
  <c r="G21" i="30"/>
  <c r="G20" i="30"/>
  <c r="M23" i="30"/>
  <c r="N23" i="30" s="1"/>
  <c r="N27" i="15"/>
  <c r="M28" i="29"/>
  <c r="N28" i="29" s="1"/>
  <c r="N28" i="1"/>
  <c r="J29" i="1"/>
  <c r="G28" i="1"/>
  <c r="G18" i="20"/>
  <c r="N28" i="2" l="1"/>
  <c r="M30" i="2"/>
  <c r="J30" i="14"/>
  <c r="B21" i="20"/>
  <c r="E21" i="20" s="1"/>
  <c r="G21" i="20" s="1"/>
  <c r="F30" i="26"/>
  <c r="K30" i="26"/>
  <c r="E29" i="26"/>
  <c r="J28" i="7"/>
  <c r="J29" i="7" s="1"/>
  <c r="H30" i="4"/>
  <c r="M29" i="26"/>
  <c r="M30" i="26"/>
  <c r="G28" i="26"/>
  <c r="G29" i="26" s="1"/>
  <c r="H30" i="26"/>
  <c r="H29" i="26"/>
  <c r="I30" i="26"/>
  <c r="N28" i="25"/>
  <c r="D28" i="30"/>
  <c r="J28" i="4"/>
  <c r="L30" i="4"/>
  <c r="L29" i="4"/>
  <c r="L30" i="26"/>
  <c r="G26" i="23"/>
  <c r="G26" i="30" s="1"/>
  <c r="E26" i="30"/>
  <c r="E28" i="30" s="1"/>
  <c r="I30" i="30" s="1"/>
  <c r="K30" i="2"/>
  <c r="J30" i="26"/>
  <c r="K30" i="4"/>
  <c r="K29" i="4"/>
  <c r="F29" i="4"/>
  <c r="F30" i="4"/>
  <c r="G28" i="4"/>
  <c r="E28" i="23"/>
  <c r="E29" i="23" s="1"/>
  <c r="I30" i="2"/>
  <c r="H30" i="2"/>
  <c r="E30" i="2"/>
  <c r="N28" i="7"/>
  <c r="N28" i="3"/>
  <c r="J28" i="21"/>
  <c r="J29" i="21" s="1"/>
  <c r="J30" i="13"/>
  <c r="H30" i="13"/>
  <c r="K30" i="22"/>
  <c r="E29" i="22"/>
  <c r="H30" i="22"/>
  <c r="M30" i="1"/>
  <c r="K30" i="1" s="1"/>
  <c r="N28" i="22"/>
  <c r="J28" i="5"/>
  <c r="J29" i="5" s="1"/>
  <c r="E29" i="1"/>
  <c r="G29" i="1" s="1"/>
  <c r="I30" i="1"/>
  <c r="E30" i="1"/>
  <c r="H30" i="1"/>
  <c r="I30" i="22"/>
  <c r="E30" i="22"/>
  <c r="M30" i="22"/>
  <c r="G28" i="22"/>
  <c r="G30" i="22" s="1"/>
  <c r="L30" i="22"/>
  <c r="H30" i="12"/>
  <c r="J30" i="22"/>
  <c r="F30" i="1"/>
  <c r="N28" i="17"/>
  <c r="M29" i="2"/>
  <c r="L30" i="2"/>
  <c r="F30" i="2"/>
  <c r="G28" i="2"/>
  <c r="G29" i="2" s="1"/>
  <c r="I30" i="13"/>
  <c r="K30" i="13"/>
  <c r="L30" i="13"/>
  <c r="F30" i="13"/>
  <c r="E30" i="13"/>
  <c r="E29" i="13"/>
  <c r="K30" i="12"/>
  <c r="L30" i="12"/>
  <c r="F30" i="12"/>
  <c r="E29" i="12"/>
  <c r="E30" i="12"/>
  <c r="J29" i="22"/>
  <c r="G25" i="23"/>
  <c r="G25" i="30" s="1"/>
  <c r="J29" i="15"/>
  <c r="J30" i="2"/>
  <c r="H29" i="12"/>
  <c r="J28" i="12"/>
  <c r="G28" i="12"/>
  <c r="G30" i="12" s="1"/>
  <c r="M29" i="12"/>
  <c r="N28" i="12"/>
  <c r="M30" i="12"/>
  <c r="N28" i="21"/>
  <c r="M29" i="5"/>
  <c r="N28" i="5"/>
  <c r="L30" i="29"/>
  <c r="E29" i="29"/>
  <c r="E30" i="29"/>
  <c r="K30" i="29"/>
  <c r="G28" i="29"/>
  <c r="G29" i="29" s="1"/>
  <c r="H30" i="29"/>
  <c r="F30" i="29"/>
  <c r="G28" i="24"/>
  <c r="G30" i="24" s="1"/>
  <c r="E30" i="24"/>
  <c r="K30" i="24"/>
  <c r="J30" i="24"/>
  <c r="E29" i="24"/>
  <c r="L30" i="24"/>
  <c r="F30" i="24"/>
  <c r="H30" i="24"/>
  <c r="K30" i="17"/>
  <c r="F30" i="17"/>
  <c r="E30" i="17"/>
  <c r="L30" i="17"/>
  <c r="G28" i="17"/>
  <c r="G29" i="17" s="1"/>
  <c r="H30" i="17"/>
  <c r="I30" i="17"/>
  <c r="M30" i="17"/>
  <c r="J30" i="17"/>
  <c r="J28" i="20"/>
  <c r="J29" i="20" s="1"/>
  <c r="E29" i="14"/>
  <c r="L30" i="14"/>
  <c r="K30" i="14"/>
  <c r="I30" i="14"/>
  <c r="H30" i="14"/>
  <c r="G28" i="14"/>
  <c r="G29" i="14" s="1"/>
  <c r="E30" i="14"/>
  <c r="F30" i="14"/>
  <c r="L30" i="3"/>
  <c r="F30" i="3"/>
  <c r="K30" i="3"/>
  <c r="M30" i="3"/>
  <c r="I30" i="3"/>
  <c r="E29" i="3"/>
  <c r="J30" i="19"/>
  <c r="E30" i="19"/>
  <c r="I30" i="19"/>
  <c r="E29" i="19"/>
  <c r="L30" i="19"/>
  <c r="G28" i="19"/>
  <c r="F30" i="19"/>
  <c r="K30" i="19"/>
  <c r="M30" i="19"/>
  <c r="E29" i="21"/>
  <c r="L30" i="21"/>
  <c r="K30" i="21"/>
  <c r="M30" i="21"/>
  <c r="G28" i="21"/>
  <c r="H30" i="21"/>
  <c r="E30" i="21"/>
  <c r="F30" i="21"/>
  <c r="I30" i="21"/>
  <c r="E29" i="15"/>
  <c r="G27" i="15"/>
  <c r="F29" i="15"/>
  <c r="K29" i="15"/>
  <c r="E28" i="15"/>
  <c r="L29" i="15"/>
  <c r="H29" i="15"/>
  <c r="I29" i="15"/>
  <c r="J30" i="29"/>
  <c r="N28" i="31"/>
  <c r="M29" i="31"/>
  <c r="E30" i="31"/>
  <c r="E29" i="31"/>
  <c r="H30" i="31"/>
  <c r="F30" i="31"/>
  <c r="L30" i="31"/>
  <c r="I30" i="31"/>
  <c r="M30" i="31"/>
  <c r="J30" i="31"/>
  <c r="G28" i="31"/>
  <c r="K30" i="31"/>
  <c r="N28" i="13"/>
  <c r="M30" i="24"/>
  <c r="N28" i="24"/>
  <c r="N28" i="14"/>
  <c r="M30" i="14"/>
  <c r="M30" i="29"/>
  <c r="M29" i="29"/>
  <c r="M29" i="15"/>
  <c r="M28" i="15"/>
  <c r="E30" i="25"/>
  <c r="F30" i="25"/>
  <c r="I30" i="25"/>
  <c r="H30" i="25"/>
  <c r="G28" i="25"/>
  <c r="E29" i="25"/>
  <c r="L30" i="25"/>
  <c r="K30" i="25"/>
  <c r="M30" i="25"/>
  <c r="J30" i="25"/>
  <c r="M28" i="20"/>
  <c r="N28" i="20" s="1"/>
  <c r="G28" i="18"/>
  <c r="G29" i="18" s="1"/>
  <c r="J30" i="18"/>
  <c r="E30" i="18"/>
  <c r="F30" i="18"/>
  <c r="H30" i="18"/>
  <c r="K30" i="18"/>
  <c r="L30" i="18"/>
  <c r="E29" i="18"/>
  <c r="M30" i="18"/>
  <c r="E22" i="20"/>
  <c r="G22" i="20" s="1"/>
  <c r="B28" i="20"/>
  <c r="M30" i="13"/>
  <c r="G30" i="13"/>
  <c r="G29" i="13"/>
  <c r="E30" i="7"/>
  <c r="F30" i="7"/>
  <c r="I30" i="7"/>
  <c r="H30" i="7"/>
  <c r="E29" i="7"/>
  <c r="L30" i="7"/>
  <c r="K30" i="7"/>
  <c r="M30" i="7"/>
  <c r="G28" i="7"/>
  <c r="E29" i="5"/>
  <c r="L30" i="5"/>
  <c r="K30" i="5"/>
  <c r="H30" i="5"/>
  <c r="E30" i="5"/>
  <c r="F30" i="5"/>
  <c r="I30" i="5"/>
  <c r="M30" i="5"/>
  <c r="G28" i="5"/>
  <c r="H29" i="3"/>
  <c r="G28" i="3"/>
  <c r="H30" i="3"/>
  <c r="J28" i="3"/>
  <c r="M29" i="23"/>
  <c r="M28" i="30"/>
  <c r="J28" i="30"/>
  <c r="J29" i="30" s="1"/>
  <c r="G28" i="20" l="1"/>
  <c r="G29" i="20" s="1"/>
  <c r="J30" i="7"/>
  <c r="G28" i="30"/>
  <c r="G29" i="30" s="1"/>
  <c r="G30" i="26"/>
  <c r="G28" i="23"/>
  <c r="G30" i="23" s="1"/>
  <c r="J30" i="23"/>
  <c r="E30" i="23"/>
  <c r="K30" i="23"/>
  <c r="J30" i="5"/>
  <c r="H30" i="23"/>
  <c r="G30" i="4"/>
  <c r="G29" i="4"/>
  <c r="M30" i="23"/>
  <c r="L30" i="23"/>
  <c r="F30" i="23"/>
  <c r="I30" i="23"/>
  <c r="J30" i="4"/>
  <c r="J29" i="4"/>
  <c r="J30" i="21"/>
  <c r="J30" i="1"/>
  <c r="G30" i="1"/>
  <c r="G29" i="22"/>
  <c r="G30" i="2"/>
  <c r="G29" i="24"/>
  <c r="G30" i="17"/>
  <c r="G29" i="12"/>
  <c r="J30" i="12"/>
  <c r="J29" i="12"/>
  <c r="G30" i="29"/>
  <c r="H30" i="30"/>
  <c r="E29" i="30"/>
  <c r="F30" i="30"/>
  <c r="L30" i="30"/>
  <c r="E30" i="30"/>
  <c r="K30" i="30"/>
  <c r="M30" i="30"/>
  <c r="G30" i="14"/>
  <c r="G29" i="19"/>
  <c r="G30" i="19"/>
  <c r="G30" i="21"/>
  <c r="G29" i="21"/>
  <c r="G30" i="18"/>
  <c r="G28" i="15"/>
  <c r="G29" i="15"/>
  <c r="M29" i="20"/>
  <c r="G30" i="31"/>
  <c r="G29" i="31"/>
  <c r="N28" i="30"/>
  <c r="M29" i="30"/>
  <c r="G29" i="25"/>
  <c r="G30" i="25"/>
  <c r="E28" i="20"/>
  <c r="E30" i="20" s="1"/>
  <c r="G30" i="7"/>
  <c r="G29" i="7"/>
  <c r="G30" i="5"/>
  <c r="G29" i="5"/>
  <c r="J29" i="3"/>
  <c r="J30" i="3"/>
  <c r="G29" i="3"/>
  <c r="G30" i="3"/>
  <c r="J30" i="30"/>
  <c r="G30" i="30" l="1"/>
  <c r="G29" i="23"/>
  <c r="I30" i="20"/>
  <c r="G30" i="20"/>
  <c r="K30" i="20"/>
  <c r="E29" i="20"/>
  <c r="H30" i="20"/>
  <c r="L30" i="20"/>
  <c r="F30" i="20"/>
  <c r="J30" i="20"/>
  <c r="M30" i="20"/>
  <c r="L28" i="16" l="1"/>
  <c r="L29" i="16" s="1"/>
  <c r="E25" i="16"/>
  <c r="E28" i="16" s="1"/>
  <c r="M25" i="16"/>
  <c r="N25" i="16" s="1"/>
  <c r="N28" i="16" s="1"/>
  <c r="M28" i="16" l="1"/>
  <c r="M29" i="16" s="1"/>
  <c r="K29" i="16" s="1"/>
  <c r="L30" i="16"/>
  <c r="C28" i="16"/>
  <c r="M30" i="16" l="1"/>
  <c r="K30" i="16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5A1779B-65A1-4DE7-B167-EAF500F6AA37}" keepAlive="1" name="Query - ainsworth" description="Connection to the 'ainsworth' query in the workbook." type="5" refreshedVersion="6" background="1">
    <dbPr connection="Provider=Microsoft.Mashup.OleDb.1;Data Source=$Workbook$;Location=ainsworth;Extended Properties=&quot;&quot;" command="SELECT * FROM [ainsworth]"/>
  </connection>
  <connection id="2" xr16:uid="{8B6D82DD-5FF4-4BB8-81F5-F17B933E1013}" keepAlive="1" name="Query - Table1" description="Connection to the 'Table1' query in the workbook." type="5" refreshedVersion="6" background="1" saveData="1">
    <dbPr connection="Provider=Microsoft.Mashup.OleDb.1;Data Source=$Workbook$;Location=Table1;Extended Properties=&quot;&quot;" command="SELECT * FROM [Table1]"/>
  </connection>
</connections>
</file>

<file path=xl/sharedStrings.xml><?xml version="1.0" encoding="utf-8"?>
<sst xmlns="http://schemas.openxmlformats.org/spreadsheetml/2006/main" count="2733" uniqueCount="236">
  <si>
    <t xml:space="preserve"> </t>
  </si>
  <si>
    <t xml:space="preserve">        7-322</t>
  </si>
  <si>
    <t>Revised for KRP use</t>
  </si>
  <si>
    <t xml:space="preserve">        2-74</t>
  </si>
  <si>
    <t>Canal:</t>
  </si>
  <si>
    <t>Project:</t>
  </si>
  <si>
    <t>Diversion from:</t>
  </si>
  <si>
    <t>1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</si>
  <si>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</si>
  <si>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</si>
  <si>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</si>
  <si>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</si>
  <si>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</si>
  <si>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</si>
  <si>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</si>
  <si>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</si>
  <si>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</si>
  <si>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</si>
  <si>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</si>
  <si>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</si>
  <si>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</si>
  <si>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</si>
  <si>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Acre ft.per acre****</t>
  </si>
  <si>
    <t>Percent Net Supply</t>
  </si>
  <si>
    <t>INSTRUCTIONS</t>
  </si>
  <si>
    <t>AINSWORTH</t>
  </si>
  <si>
    <t>Pick-Sloan Missouri Basin Program</t>
  </si>
  <si>
    <t>Merritt Reservoir</t>
  </si>
  <si>
    <t>2</t>
  </si>
  <si>
    <t>Diverted</t>
  </si>
  <si>
    <t>From</t>
  </si>
  <si>
    <t>Stream or</t>
  </si>
  <si>
    <t>Reservoir</t>
  </si>
  <si>
    <t>Column 2=Diversion amount exclusive of waste at head gates for sluicing.</t>
  </si>
  <si>
    <t>Columns 2+3-4=Column 5.</t>
  </si>
  <si>
    <t>Columns 5-6-8-11=Column 7.</t>
  </si>
  <si>
    <t>Columns 8-9-12=Column 10.</t>
  </si>
  <si>
    <t>3</t>
  </si>
  <si>
    <t>Inflow</t>
  </si>
  <si>
    <t>Other</t>
  </si>
  <si>
    <t>Sources</t>
  </si>
  <si>
    <t>MONTHLY  WATER  DISTRIBUTION</t>
  </si>
  <si>
    <t>4</t>
  </si>
  <si>
    <t>Delivered</t>
  </si>
  <si>
    <t>to</t>
  </si>
  <si>
    <t>Regulating</t>
  </si>
  <si>
    <t>5</t>
  </si>
  <si>
    <t>Net</t>
  </si>
  <si>
    <t>Supply</t>
  </si>
  <si>
    <t xml:space="preserve">             UNITED  STATES</t>
  </si>
  <si>
    <t>DEPARTMENT  OF  THE  INTERIOR</t>
  </si>
  <si>
    <t xml:space="preserve">   BUREAU  OF  RECLAMATION</t>
  </si>
  <si>
    <t>6</t>
  </si>
  <si>
    <t>Main</t>
  </si>
  <si>
    <t>Canal</t>
  </si>
  <si>
    <t>Waste</t>
  </si>
  <si>
    <t>District:</t>
  </si>
  <si>
    <t>Acres Irrigated During Season:</t>
  </si>
  <si>
    <t>ACRE-FEET:</t>
  </si>
  <si>
    <t>7</t>
  </si>
  <si>
    <t>Losses</t>
  </si>
  <si>
    <t>8</t>
  </si>
  <si>
    <t>Laterals*</t>
  </si>
  <si>
    <t>AINSWORTH IRRIGATION DISTRICT</t>
  </si>
  <si>
    <t>9</t>
  </si>
  <si>
    <t>Lateral</t>
  </si>
  <si>
    <t>*Measured at lateral turnouts from main canal.</t>
  </si>
  <si>
    <t>**Measured at farm turnouts from main canal.</t>
  </si>
  <si>
    <t>***Measured at farm turnouts from laterals.</t>
  </si>
  <si>
    <t>****Use total acres irrigated during season to compute this column.</t>
  </si>
  <si>
    <t>10</t>
  </si>
  <si>
    <t>11</t>
  </si>
  <si>
    <t xml:space="preserve">                Delivered to Farms</t>
  </si>
  <si>
    <t>From Main</t>
  </si>
  <si>
    <t>Canal**</t>
  </si>
  <si>
    <t>12</t>
  </si>
  <si>
    <t>Lateral***</t>
  </si>
  <si>
    <t>Year</t>
  </si>
  <si>
    <t>13</t>
  </si>
  <si>
    <t>14</t>
  </si>
  <si>
    <t>Per Acre</t>
  </si>
  <si>
    <t>****</t>
  </si>
  <si>
    <t>ALMENA</t>
  </si>
  <si>
    <t>Prairie Dog Creek</t>
  </si>
  <si>
    <t>ALMENA IRRIGATION DISTRICT NO. 5</t>
  </si>
  <si>
    <t>Acre Feet</t>
  </si>
  <si>
    <t>BARTLEY</t>
  </si>
  <si>
    <t>Republican River</t>
  </si>
  <si>
    <t>FRENCHMAN-CAMBRIDGE IRRIGATION DISTRICT</t>
  </si>
  <si>
    <t>BOSTWICK IN NEBRASKA SUMMARY</t>
  </si>
  <si>
    <t>Harlan County Lake and Republican River</t>
  </si>
  <si>
    <t>BOSTWICK IRRIGATION DISTRICT IN NEBRASKA</t>
  </si>
  <si>
    <t xml:space="preserve"> From Main</t>
  </si>
  <si>
    <t xml:space="preserve">  Canal**</t>
  </si>
  <si>
    <t>CAMBRIDGE</t>
  </si>
  <si>
    <t>Bypassed</t>
  </si>
  <si>
    <t>for Senior</t>
  </si>
  <si>
    <t>Water</t>
  </si>
  <si>
    <t>Right</t>
  </si>
  <si>
    <t>CULBERTSON</t>
  </si>
  <si>
    <t>Frenchman Creek</t>
  </si>
  <si>
    <t>FRENCHMAN VALLEY IRRIGATION DISTRICT</t>
  </si>
  <si>
    <t>Frenchman Creek thru Culbertson Canal</t>
  </si>
  <si>
    <t>H &amp; RW IRRIGATION DISTRICT</t>
  </si>
  <si>
    <t xml:space="preserve"> Culb.</t>
  </si>
  <si>
    <t xml:space="preserve"> Ext.</t>
  </si>
  <si>
    <t xml:space="preserve"> Lat.-Farm</t>
  </si>
  <si>
    <t xml:space="preserve"> Turnouts</t>
  </si>
  <si>
    <t xml:space="preserve"> Lateral</t>
  </si>
  <si>
    <t xml:space="preserve">  27.0</t>
  </si>
  <si>
    <t>Acre Ft/Acre****</t>
  </si>
  <si>
    <t>FRENCHMAN-CAMBRIDGE SUMMARY</t>
  </si>
  <si>
    <t>Trenton Res., RW Creek &amp; Republican River</t>
  </si>
  <si>
    <t>FRANKLIN PUMP</t>
  </si>
  <si>
    <t>FRANKLIN</t>
  </si>
  <si>
    <t>Harlan County Lake</t>
  </si>
  <si>
    <t>FULLERTON (BELOW DAVIS CREEK)</t>
  </si>
  <si>
    <t>Davis Creek Reservoir</t>
  </si>
  <si>
    <t xml:space="preserve">Other </t>
  </si>
  <si>
    <t xml:space="preserve">     4</t>
  </si>
  <si>
    <t>TWIN LOUPS IRRIGATION DISTRICT</t>
  </si>
  <si>
    <t>Acre ft.per acre **</t>
  </si>
  <si>
    <t>Waconda Lake</t>
  </si>
  <si>
    <t>Storage</t>
  </si>
  <si>
    <t>as</t>
  </si>
  <si>
    <t>Natural</t>
  </si>
  <si>
    <t>Flow *</t>
  </si>
  <si>
    <t>Laterals</t>
  </si>
  <si>
    <t>*Natural flow determined available for District use by the Kansas Division of</t>
  </si>
  <si>
    <t xml:space="preserve">  Water Resources and bypassed through the control works at Glen Elder Dam.</t>
  </si>
  <si>
    <t>**Use total acres irrigated during season to compute this column.</t>
  </si>
  <si>
    <t>GLEN ELDER IRRIGATION DISTRICT NO. 8</t>
  </si>
  <si>
    <t>District</t>
  </si>
  <si>
    <t>Usage</t>
  </si>
  <si>
    <t>Non-District</t>
  </si>
  <si>
    <t>**</t>
  </si>
  <si>
    <t>KIRWIN</t>
  </si>
  <si>
    <t>Kirwin Reservoir</t>
  </si>
  <si>
    <t>KIRWIN IRRIGATION DISTRICT NO. 1</t>
  </si>
  <si>
    <t>NOTE: Nebraska canal loss as shared by Kansas-Bostwick included in this report.</t>
  </si>
  <si>
    <t>NOTE: Net Supply does not include losses incurred by Kansas Bostwick or USBR (to Lovewell).</t>
  </si>
  <si>
    <t>COURTLAND ABOVE LOVEWELL</t>
  </si>
  <si>
    <t>Kan-Bost</t>
  </si>
  <si>
    <t>Share</t>
  </si>
  <si>
    <t>Loss</t>
  </si>
  <si>
    <t>0.7 - 15.1</t>
  </si>
  <si>
    <t>Columns 8+11=Column 4.</t>
  </si>
  <si>
    <t>Columns 2+3+4=Column 5.</t>
  </si>
  <si>
    <t>15.1 - 34.8</t>
  </si>
  <si>
    <t>Diversions</t>
  </si>
  <si>
    <t>below</t>
  </si>
  <si>
    <t>Stateline</t>
  </si>
  <si>
    <t>KANSAS-BOSTWICK IRRIGATION DISTRICT NO. 2</t>
  </si>
  <si>
    <t>COURTLAND BELOW LOVEWELL</t>
  </si>
  <si>
    <t>Lovewell Reservoir</t>
  </si>
  <si>
    <t>Lovewell</t>
  </si>
  <si>
    <t>KANSAS-BOSTWICK SUMMARY</t>
  </si>
  <si>
    <t>Republican River &amp; Lovewell Reservoir</t>
  </si>
  <si>
    <t>Allocated</t>
  </si>
  <si>
    <t>Above</t>
  </si>
  <si>
    <t>Column 3=Diversion amount exclusive of waste at head gates for sluicing.</t>
  </si>
  <si>
    <t>38.0</t>
  </si>
  <si>
    <t>MEEKER-DRIFTWOOD</t>
  </si>
  <si>
    <t>Trenton Dam</t>
  </si>
  <si>
    <t>MIRAGE FLATS</t>
  </si>
  <si>
    <t>Mirage Flats</t>
  </si>
  <si>
    <t>Niobrara River</t>
  </si>
  <si>
    <t>MIRAGE FLATS IRRIGATION DISTRICT</t>
  </si>
  <si>
    <t>MIRDAN (ABOVE DAVIS CREEK)</t>
  </si>
  <si>
    <t>Calamus Reservoir and North Loup River</t>
  </si>
  <si>
    <t>Calamus</t>
  </si>
  <si>
    <t>Kent</t>
  </si>
  <si>
    <t>***** 4</t>
  </si>
  <si>
    <t>*****Includes share of main canal loss.</t>
  </si>
  <si>
    <t>NAPONEE</t>
  </si>
  <si>
    <t>OSBORNE</t>
  </si>
  <si>
    <t>South Fork Solomon River</t>
  </si>
  <si>
    <t>WEBSTER IRRIGATION DISTRICT NO. 4</t>
  </si>
  <si>
    <t>RED WILLOW</t>
  </si>
  <si>
    <t>Red Willow Creek</t>
  </si>
  <si>
    <t>SUPERIOR</t>
  </si>
  <si>
    <t>TWIN LOUPS SUMMARY</t>
  </si>
  <si>
    <t>Calamus, Davis Creek Res., &amp; North Loup River</t>
  </si>
  <si>
    <t>COURTLAND IN NEBRASKA</t>
  </si>
  <si>
    <t>CULBERTSON EXTENSION 2</t>
  </si>
  <si>
    <t>Culbertson Extension 1</t>
  </si>
  <si>
    <t>non-district</t>
  </si>
  <si>
    <t>Culbertson Extension Canal 1 was not in operation during the 2020 irrigation season.</t>
  </si>
  <si>
    <t>Culbertson Extension Canal 2 was not in operation during the 2020 irrigation season.</t>
  </si>
  <si>
    <t>Conducted</t>
  </si>
  <si>
    <t xml:space="preserve">Bartley </t>
  </si>
  <si>
    <t>Canal*****</t>
  </si>
  <si>
    <t>Bartley</t>
  </si>
  <si>
    <t>RRCA Deliveries and Seepage</t>
  </si>
  <si>
    <t>Canal_ID</t>
  </si>
  <si>
    <t>* Seepage percents updated to 92% if in April or October and there were no deliveries, consistent with accounting</t>
  </si>
  <si>
    <t>Canal_Name</t>
  </si>
  <si>
    <t>Culbertson</t>
  </si>
  <si>
    <t>Culbertson Ext</t>
  </si>
  <si>
    <t>Meeker-Driftwood</t>
  </si>
  <si>
    <t>Red Willow</t>
  </si>
  <si>
    <t>Cambridge</t>
  </si>
  <si>
    <t>Franklin</t>
  </si>
  <si>
    <t>Naponee</t>
  </si>
  <si>
    <t>Franklin Pump</t>
  </si>
  <si>
    <t>Superior</t>
  </si>
  <si>
    <t>Courtland NE</t>
  </si>
  <si>
    <t>Delivery_acft</t>
  </si>
  <si>
    <t>Seepage acft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</si>
  <si>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</si>
  <si>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</si>
  <si>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</si>
  <si>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</si>
  <si>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</si>
  <si>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</si>
  <si>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</si>
  <si>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</si>
  <si>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</si>
  <si>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</si>
  <si>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</si>
  <si>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Copy and paste from prior year mwdXXrepublican.xls</t>
  </si>
  <si>
    <t>Copy from above and paste values</t>
  </si>
  <si>
    <t>Canal Seepage</t>
  </si>
  <si>
    <t>Copy from above and paste transposed, then copy to new worksheet " RRCA BOR Deliveries and Seepage"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</si>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</sst>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;[Red]#,##0"/>
  </numFmts>
  <fonts count="32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SWISS"/>
    </font>
    <font>
      <sz val="14"/>
      <name val="SWISS"/>
    </font>
    <font>
      <b/>
      <sz val="24"/>
      <name val="SWISS"/>
    </font>
    <font>
      <b/>
      <sz val="14"/>
      <name val="SWISS"/>
    </font>
    <font>
      <b/>
      <sz val="10"/>
      <name val="DUTCH"/>
    </font>
    <font>
      <sz val="10"/>
      <name val="Arial"/>
      <family val="2"/>
    </font>
    <font>
      <sz val="10"/>
      <name val="DUTCH"/>
    </font>
    <font>
      <b/>
      <sz val="10"/>
      <color indexed="8"/>
      <name val="DUTCH"/>
    </font>
    <font>
      <sz val="12"/>
      <color indexed="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b/>
      <sz val="10"/>
      <color indexed="10"/>
      <name val="DUTCH"/>
    </font>
    <font>
      <sz val="12"/>
      <color indexed="4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sz val="12"/>
      <color rgb="FF0000FF"/>
      <name val="Arial"/>
      <family val="2"/>
    </font>
    <font>
      <b/>
      <sz val="18"/>
      <name val="Arial"/>
      <family val="2"/>
    </font>
    <font>
      <sz val="12"/>
      <color rgb="FFFF0000"/>
      <name val="Arial"/>
      <family val="2"/>
    </font>
    <font>
      <sz val="12"/>
      <color theme="4" tint="-0.249977111117893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  <font>
      <b/>
      <sz val="24"/>
      <name val="Arial"/>
      <family val="2"/>
    </font>
    <font>
      <sz val="2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alignment horizontal="left"/>
      <protection locked="0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1" fillId="0" borderId="0" xfId="0" applyNumberFormat="1" applyFont="1" applyProtection="1">
      <protection locked="0"/>
    </xf>
    <xf numFmtId="0" fontId="6" fillId="0" borderId="0" xfId="0" applyNumberFormat="1" applyFont="1" applyAlignment="1">
      <alignment horizontal="left"/>
    </xf>
    <xf numFmtId="0" fontId="2" fillId="0" borderId="0" xfId="0" applyNumberFormat="1" applyFont="1" applyAlignment="1" applyProtection="1">
      <protection locked="0"/>
    </xf>
    <xf numFmtId="0" fontId="6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 applyProtection="1">
      <alignment horizontal="left"/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0" fontId="6" fillId="0" borderId="1" xfId="0" applyNumberFormat="1" applyFont="1" applyBorder="1" applyAlignment="1">
      <alignment horizontal="center"/>
    </xf>
    <xf numFmtId="0" fontId="1" fillId="0" borderId="1" xfId="0" applyNumberFormat="1" applyFont="1" applyBorder="1" applyProtection="1">
      <protection locked="0"/>
    </xf>
    <xf numFmtId="0" fontId="2" fillId="0" borderId="2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center"/>
    </xf>
    <xf numFmtId="0" fontId="1" fillId="0" borderId="3" xfId="0" applyNumberFormat="1" applyFont="1" applyBorder="1"/>
    <xf numFmtId="0" fontId="7" fillId="0" borderId="2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/>
    <xf numFmtId="0" fontId="7" fillId="0" borderId="2" xfId="0" applyNumberFormat="1" applyFont="1" applyBorder="1" applyAlignment="1"/>
    <xf numFmtId="0" fontId="2" fillId="0" borderId="3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Alignment="1"/>
    <xf numFmtId="0" fontId="7" fillId="0" borderId="3" xfId="0" applyNumberFormat="1" applyFont="1" applyBorder="1" applyAlignment="1"/>
    <xf numFmtId="0" fontId="7" fillId="0" borderId="5" xfId="0" applyNumberFormat="1" applyFont="1" applyBorder="1" applyAlignment="1">
      <alignment horizontal="left"/>
    </xf>
    <xf numFmtId="0" fontId="7" fillId="0" borderId="5" xfId="0" applyNumberFormat="1" applyFont="1" applyBorder="1" applyAlignment="1"/>
    <xf numFmtId="0" fontId="7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 applyProtection="1">
      <alignment horizontal="left"/>
      <protection locked="0"/>
    </xf>
    <xf numFmtId="3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/>
    <xf numFmtId="0" fontId="2" fillId="0" borderId="5" xfId="0" applyNumberFormat="1" applyFont="1" applyBorder="1" applyAlignment="1"/>
    <xf numFmtId="164" fontId="2" fillId="0" borderId="5" xfId="0" applyNumberFormat="1" applyFont="1" applyBorder="1" applyAlignment="1"/>
    <xf numFmtId="2" fontId="2" fillId="0" borderId="2" xfId="0" applyNumberFormat="1" applyFont="1" applyBorder="1" applyAlignment="1">
      <alignment horizontal="lef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165" fontId="2" fillId="0" borderId="5" xfId="0" applyNumberFormat="1" applyFont="1" applyBorder="1" applyAlignment="1">
      <alignment horizontal="left"/>
    </xf>
    <xf numFmtId="165" fontId="2" fillId="0" borderId="5" xfId="0" applyNumberFormat="1" applyFont="1" applyBorder="1" applyAlignment="1"/>
    <xf numFmtId="0" fontId="2" fillId="0" borderId="4" xfId="0" applyNumberFormat="1" applyFont="1" applyBorder="1" applyAlignment="1">
      <alignment horizontal="left"/>
    </xf>
    <xf numFmtId="0" fontId="1" fillId="0" borderId="4" xfId="0" applyNumberFormat="1" applyFont="1" applyBorder="1"/>
    <xf numFmtId="0" fontId="7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/>
    <xf numFmtId="3" fontId="2" fillId="0" borderId="0" xfId="0" applyNumberFormat="1" applyFont="1" applyAlignment="1">
      <alignment horizontal="left"/>
    </xf>
    <xf numFmtId="0" fontId="2" fillId="0" borderId="0" xfId="0" applyNumberFormat="1" applyFont="1" applyAlignment="1"/>
    <xf numFmtId="2" fontId="2" fillId="0" borderId="0" xfId="0" applyNumberFormat="1" applyFont="1" applyAlignment="1"/>
    <xf numFmtId="165" fontId="2" fillId="0" borderId="0" xfId="0" applyNumberFormat="1" applyFont="1" applyAlignment="1"/>
    <xf numFmtId="0" fontId="7" fillId="0" borderId="3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7" fillId="0" borderId="3" xfId="0" applyNumberFormat="1" applyFont="1" applyBorder="1" applyAlignment="1" applyProtection="1">
      <protection locked="0"/>
    </xf>
    <xf numFmtId="3" fontId="2" fillId="0" borderId="1" xfId="0" applyNumberFormat="1" applyFont="1" applyBorder="1" applyAlignment="1" applyProtection="1">
      <alignment horizontal="left"/>
      <protection locked="0"/>
    </xf>
    <xf numFmtId="3" fontId="11" fillId="0" borderId="5" xfId="0" applyNumberFormat="1" applyFont="1" applyBorder="1" applyAlignment="1">
      <alignment horizontal="left"/>
    </xf>
    <xf numFmtId="0" fontId="9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>
      <alignment horizontal="left"/>
    </xf>
    <xf numFmtId="3" fontId="2" fillId="0" borderId="0" xfId="0" applyNumberFormat="1" applyFont="1" applyAlignment="1" applyProtection="1">
      <alignment horizontal="left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0" fontId="1" fillId="0" borderId="1" xfId="0" applyNumberFormat="1" applyFont="1" applyBorder="1"/>
    <xf numFmtId="0" fontId="13" fillId="0" borderId="0" xfId="0" applyNumberFormat="1" applyFont="1" applyAlignment="1">
      <alignment horizontal="centerContinuous"/>
    </xf>
    <xf numFmtId="0" fontId="2" fillId="0" borderId="0" xfId="0" applyNumberFormat="1" applyFont="1" applyAlignment="1">
      <alignment horizontal="centerContinuous"/>
    </xf>
    <xf numFmtId="0" fontId="14" fillId="0" borderId="0" xfId="0" applyNumberFormat="1" applyFont="1" applyAlignment="1"/>
    <xf numFmtId="0" fontId="2" fillId="0" borderId="1" xfId="0" applyNumberFormat="1" applyFont="1" applyBorder="1" applyAlignment="1">
      <alignment horizontal="left"/>
    </xf>
    <xf numFmtId="0" fontId="1" fillId="0" borderId="3" xfId="0" applyNumberFormat="1" applyFont="1" applyBorder="1" applyProtection="1"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7" fillId="0" borderId="1" xfId="0" applyNumberFormat="1" applyFont="1" applyBorder="1" applyAlignment="1">
      <alignment horizontal="left"/>
    </xf>
    <xf numFmtId="3" fontId="15" fillId="0" borderId="5" xfId="0" applyNumberFormat="1" applyFont="1" applyBorder="1" applyAlignment="1" applyProtection="1">
      <alignment horizontal="left"/>
      <protection locked="0"/>
    </xf>
    <xf numFmtId="2" fontId="2" fillId="0" borderId="2" xfId="0" applyNumberFormat="1" applyFont="1" applyBorder="1" applyAlignment="1" applyProtection="1">
      <alignment horizontal="left"/>
      <protection locked="0"/>
    </xf>
    <xf numFmtId="165" fontId="2" fillId="0" borderId="5" xfId="0" applyNumberFormat="1" applyFont="1" applyBorder="1" applyAlignment="1" applyProtection="1">
      <alignment horizontal="left"/>
      <protection locked="0"/>
    </xf>
    <xf numFmtId="165" fontId="2" fillId="0" borderId="0" xfId="0" applyNumberFormat="1" applyFont="1" applyAlignment="1" applyProtection="1">
      <protection locked="0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/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7" fillId="0" borderId="4" xfId="0" applyFont="1" applyBorder="1" applyAlignment="1"/>
    <xf numFmtId="0" fontId="7" fillId="0" borderId="2" xfId="0" applyFont="1" applyBorder="1" applyAlignment="1"/>
    <xf numFmtId="0" fontId="7" fillId="0" borderId="0" xfId="0" applyFont="1" applyAlignment="1"/>
    <xf numFmtId="0" fontId="7" fillId="0" borderId="3" xfId="0" applyFont="1" applyBorder="1" applyAlignment="1"/>
    <xf numFmtId="0" fontId="7" fillId="0" borderId="5" xfId="0" applyFont="1" applyBorder="1" applyAlignment="1"/>
    <xf numFmtId="0" fontId="7" fillId="0" borderId="3" xfId="0" applyFont="1" applyBorder="1" applyAlignment="1">
      <alignment horizontal="center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8" fillId="0" borderId="1" xfId="0" applyNumberFormat="1" applyFont="1" applyBorder="1" applyAlignment="1" applyProtection="1">
      <alignment horizontal="left"/>
      <protection locked="0"/>
    </xf>
    <xf numFmtId="3" fontId="18" fillId="0" borderId="1" xfId="0" applyNumberFormat="1" applyFont="1" applyBorder="1" applyAlignment="1" applyProtection="1">
      <alignment horizontal="right"/>
      <protection locked="0"/>
    </xf>
    <xf numFmtId="0" fontId="2" fillId="0" borderId="6" xfId="0" applyNumberFormat="1" applyFont="1" applyBorder="1" applyAlignment="1">
      <alignment horizontal="left"/>
    </xf>
    <xf numFmtId="3" fontId="19" fillId="0" borderId="1" xfId="0" applyNumberFormat="1" applyFont="1" applyBorder="1" applyAlignment="1" applyProtection="1">
      <alignment horizontal="right"/>
      <protection locked="0"/>
    </xf>
    <xf numFmtId="0" fontId="19" fillId="0" borderId="1" xfId="0" applyNumberFormat="1" applyFont="1" applyBorder="1" applyAlignment="1" applyProtection="1">
      <protection locked="0"/>
    </xf>
    <xf numFmtId="3" fontId="19" fillId="0" borderId="5" xfId="0" applyNumberFormat="1" applyFont="1" applyBorder="1" applyAlignment="1" applyProtection="1">
      <alignment horizontal="left"/>
      <protection locked="0"/>
    </xf>
    <xf numFmtId="3" fontId="19" fillId="0" borderId="5" xfId="0" applyNumberFormat="1" applyFont="1" applyBorder="1" applyAlignment="1">
      <alignment horizontal="left"/>
    </xf>
    <xf numFmtId="3" fontId="19" fillId="0" borderId="6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3" fontId="16" fillId="0" borderId="5" xfId="0" applyNumberFormat="1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19" fillId="0" borderId="1" xfId="0" applyNumberFormat="1" applyFont="1" applyBorder="1" applyAlignment="1" applyProtection="1">
      <alignment horizontal="left"/>
      <protection locked="0"/>
    </xf>
    <xf numFmtId="0" fontId="19" fillId="0" borderId="1" xfId="0" applyNumberFormat="1" applyFont="1" applyBorder="1" applyAlignment="1" applyProtection="1">
      <alignment horizontal="left"/>
      <protection locked="0"/>
    </xf>
    <xf numFmtId="3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3" fontId="19" fillId="0" borderId="1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left"/>
    </xf>
    <xf numFmtId="0" fontId="7" fillId="0" borderId="9" xfId="0" applyNumberFormat="1" applyFont="1" applyBorder="1" applyAlignment="1">
      <alignment horizontal="left"/>
    </xf>
    <xf numFmtId="0" fontId="19" fillId="0" borderId="1" xfId="0" applyFont="1" applyBorder="1" applyAlignment="1"/>
    <xf numFmtId="0" fontId="7" fillId="0" borderId="10" xfId="0" applyNumberFormat="1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10" fillId="0" borderId="10" xfId="0" applyNumberFormat="1" applyFont="1" applyBorder="1" applyAlignment="1">
      <alignment horizontal="left"/>
    </xf>
    <xf numFmtId="0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 applyProtection="1">
      <alignment horizontal="left"/>
      <protection locked="0"/>
    </xf>
    <xf numFmtId="0" fontId="1" fillId="0" borderId="2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left"/>
    </xf>
    <xf numFmtId="3" fontId="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left"/>
    </xf>
    <xf numFmtId="165" fontId="1" fillId="0" borderId="0" xfId="0" applyNumberFormat="1" applyFont="1" applyAlignment="1" applyProtection="1">
      <alignment horizontal="left"/>
      <protection locked="0"/>
    </xf>
    <xf numFmtId="3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NumberFormat="1" applyFont="1" applyAlignment="1">
      <alignment horizontal="left"/>
    </xf>
    <xf numFmtId="0" fontId="1" fillId="0" borderId="0" xfId="0" applyNumberFormat="1" applyFont="1" applyAlignment="1" applyProtection="1">
      <protection locked="0"/>
    </xf>
    <xf numFmtId="0" fontId="1" fillId="0" borderId="2" xfId="0" applyNumberFormat="1" applyFont="1" applyBorder="1" applyAlignment="1">
      <alignment horizontal="center"/>
    </xf>
    <xf numFmtId="3" fontId="1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/>
    <xf numFmtId="0" fontId="1" fillId="0" borderId="5" xfId="0" applyNumberFormat="1" applyFont="1" applyBorder="1" applyAlignment="1"/>
    <xf numFmtId="3" fontId="1" fillId="0" borderId="11" xfId="0" applyNumberFormat="1" applyFont="1" applyBorder="1" applyAlignment="1">
      <alignment horizontal="left"/>
    </xf>
    <xf numFmtId="3" fontId="1" fillId="0" borderId="11" xfId="0" applyNumberFormat="1" applyFont="1" applyBorder="1" applyAlignment="1"/>
    <xf numFmtId="0" fontId="1" fillId="0" borderId="6" xfId="0" applyNumberFormat="1" applyFont="1" applyBorder="1" applyAlignment="1"/>
    <xf numFmtId="2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/>
    <xf numFmtId="0" fontId="1" fillId="0" borderId="3" xfId="0" applyNumberFormat="1" applyFont="1" applyBorder="1" applyAlignment="1"/>
    <xf numFmtId="165" fontId="1" fillId="0" borderId="6" xfId="0" applyNumberFormat="1" applyFont="1" applyBorder="1" applyAlignment="1">
      <alignment horizontal="left"/>
    </xf>
    <xf numFmtId="165" fontId="1" fillId="0" borderId="5" xfId="0" applyNumberFormat="1" applyFont="1" applyBorder="1" applyAlignment="1"/>
    <xf numFmtId="165" fontId="1" fillId="0" borderId="0" xfId="0" applyNumberFormat="1" applyFont="1" applyAlignment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2" fillId="0" borderId="1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166" fontId="22" fillId="0" borderId="1" xfId="0" applyNumberFormat="1" applyFont="1" applyBorder="1" applyAlignment="1" applyProtection="1">
      <alignment horizontal="left"/>
      <protection locked="0"/>
    </xf>
    <xf numFmtId="3" fontId="19" fillId="0" borderId="5" xfId="0" applyNumberFormat="1" applyFont="1" applyFill="1" applyBorder="1" applyAlignment="1" applyProtection="1">
      <alignment horizontal="left"/>
      <protection locked="0"/>
    </xf>
    <xf numFmtId="3" fontId="22" fillId="0" borderId="1" xfId="0" applyNumberFormat="1" applyFont="1" applyBorder="1" applyAlignment="1">
      <alignment horizontal="left"/>
    </xf>
    <xf numFmtId="3" fontId="11" fillId="0" borderId="5" xfId="0" applyNumberFormat="1" applyFont="1" applyFill="1" applyBorder="1" applyAlignment="1" applyProtection="1">
      <alignment horizontal="left"/>
      <protection locked="0"/>
    </xf>
    <xf numFmtId="0" fontId="19" fillId="0" borderId="5" xfId="0" applyFont="1" applyFill="1" applyBorder="1" applyAlignment="1">
      <alignment horizontal="left"/>
    </xf>
    <xf numFmtId="3" fontId="2" fillId="0" borderId="5" xfId="0" applyNumberFormat="1" applyFont="1" applyFill="1" applyBorder="1" applyAlignment="1">
      <alignment horizontal="left"/>
    </xf>
    <xf numFmtId="3" fontId="22" fillId="0" borderId="1" xfId="0" applyNumberFormat="1" applyFont="1" applyBorder="1" applyAlignment="1">
      <alignment horizontal="right"/>
    </xf>
    <xf numFmtId="0" fontId="23" fillId="0" borderId="0" xfId="0" applyNumberFormat="1" applyFont="1" applyAlignment="1"/>
    <xf numFmtId="0" fontId="7" fillId="0" borderId="8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/>
    </xf>
    <xf numFmtId="3" fontId="0" fillId="0" borderId="1" xfId="0" applyNumberFormat="1" applyBorder="1" applyAlignment="1" applyProtection="1">
      <alignment horizontal="left"/>
      <protection locked="0"/>
    </xf>
    <xf numFmtId="3" fontId="0" fillId="0" borderId="1" xfId="0" applyNumberFormat="1" applyBorder="1" applyAlignment="1">
      <alignment horizontal="left"/>
    </xf>
    <xf numFmtId="0" fontId="24" fillId="0" borderId="1" xfId="0" applyFont="1" applyBorder="1" applyAlignment="1">
      <alignment horizontal="left"/>
    </xf>
    <xf numFmtId="3" fontId="25" fillId="0" borderId="5" xfId="0" applyNumberFormat="1" applyFont="1" applyBorder="1" applyAlignment="1">
      <alignment horizontal="left"/>
    </xf>
    <xf numFmtId="0" fontId="13" fillId="0" borderId="0" xfId="0" applyNumberFormat="1" applyFont="1" applyAlignment="1"/>
    <xf numFmtId="0" fontId="26" fillId="0" borderId="0" xfId="0" applyFont="1" applyAlignment="1"/>
    <xf numFmtId="0" fontId="13" fillId="0" borderId="0" xfId="0" applyFont="1" applyAlignment="1"/>
    <xf numFmtId="0" fontId="26" fillId="0" borderId="0" xfId="0" applyNumberFormat="1" applyFont="1" applyAlignment="1"/>
    <xf numFmtId="0" fontId="1" fillId="0" borderId="1" xfId="0" applyFont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164" fontId="2" fillId="0" borderId="13" xfId="0" applyNumberFormat="1" applyFont="1" applyBorder="1" applyAlignment="1">
      <alignment horizontal="left"/>
    </xf>
    <xf numFmtId="0" fontId="27" fillId="0" borderId="0" xfId="0" applyFont="1" applyAlignment="1"/>
    <xf numFmtId="0" fontId="1" fillId="0" borderId="10" xfId="0" applyNumberFormat="1" applyFont="1" applyBorder="1" applyAlignment="1">
      <alignment horizontal="left"/>
    </xf>
    <xf numFmtId="3" fontId="22" fillId="0" borderId="5" xfId="0" applyNumberFormat="1" applyFont="1" applyBorder="1" applyAlignment="1" applyProtection="1">
      <alignment horizontal="left"/>
      <protection locked="0"/>
    </xf>
    <xf numFmtId="3" fontId="1" fillId="2" borderId="5" xfId="0" applyNumberFormat="1" applyFont="1" applyFill="1" applyBorder="1" applyAlignment="1">
      <alignment horizontal="left"/>
    </xf>
    <xf numFmtId="0" fontId="28" fillId="0" borderId="0" xfId="0" applyNumberFormat="1" applyFont="1" applyAlignment="1" applyProtection="1">
      <alignment horizontal="left"/>
      <protection locked="0"/>
    </xf>
    <xf numFmtId="3" fontId="22" fillId="0" borderId="11" xfId="0" applyNumberFormat="1" applyFont="1" applyBorder="1" applyAlignment="1">
      <alignment horizontal="left"/>
    </xf>
    <xf numFmtId="3" fontId="29" fillId="0" borderId="11" xfId="0" applyNumberFormat="1" applyFont="1" applyBorder="1" applyAlignment="1">
      <alignment horizontal="left"/>
    </xf>
    <xf numFmtId="3" fontId="22" fillId="0" borderId="5" xfId="0" applyNumberFormat="1" applyFont="1" applyBorder="1" applyAlignment="1">
      <alignment horizontal="left"/>
    </xf>
    <xf numFmtId="0" fontId="31" fillId="0" borderId="0" xfId="0" applyNumberFormat="1" applyFont="1" applyAlignment="1"/>
    <xf numFmtId="0" fontId="30" fillId="0" borderId="0" xfId="0" applyFont="1" applyAlignment="1"/>
    <xf numFmtId="9" fontId="24" fillId="0" borderId="0" xfId="0" applyNumberFormat="1" applyFont="1" applyAlignment="1"/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22" fillId="0" borderId="6" xfId="0" applyNumberFormat="1" applyFont="1" applyBorder="1" applyAlignment="1">
      <alignment horizontal="left"/>
    </xf>
    <xf numFmtId="3" fontId="22" fillId="0" borderId="5" xfId="0" applyNumberFormat="1" applyFont="1" applyFill="1" applyBorder="1" applyAlignment="1" applyProtection="1">
      <alignment horizontal="left"/>
      <protection locked="0"/>
    </xf>
    <xf numFmtId="3" fontId="1" fillId="0" borderId="5" xfId="0" applyNumberFormat="1" applyFont="1" applyFill="1" applyBorder="1" applyAlignment="1">
      <alignment horizontal="left"/>
    </xf>
    <xf numFmtId="0" fontId="1" fillId="3" borderId="0" xfId="0" applyFon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12" fillId="3" borderId="0" xfId="0" applyFont="1" applyFill="1"/>
    <xf numFmtId="0" fontId="12" fillId="3" borderId="0" xfId="0" applyFon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4" borderId="0" xfId="0" applyFill="1"/>
    <xf numFmtId="0" fontId="12" fillId="4" borderId="0" xfId="0" applyFont="1" applyFill="1" applyAlignment="1">
      <alignment horizontal="center" vertical="center"/>
    </xf>
    <xf numFmtId="0" fontId="12" fillId="0" borderId="0" xfId="0" applyFont="1"/>
    <xf numFmtId="0" fontId="1" fillId="4" borderId="0" xfId="0" applyFont="1" applyFill="1" applyAlignment="1">
      <alignment horizontal="center" vertical="center"/>
    </xf>
    <xf numFmtId="3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12" fillId="0" borderId="0" xfId="0" applyFont="1" applyAlignment="1">
      <alignment horizontal="center"/>
    </xf>
    <xf numFmtId="0" fontId="12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3" fontId="0" fillId="5" borderId="0" xfId="0" applyNumberFormat="1" applyFill="1" applyAlignment="1">
      <alignment horizontal="center" vertical="center"/>
    </xf>
    <xf numFmtId="0" fontId="12" fillId="5" borderId="0" xfId="0" applyFont="1" applyFill="1"/>
    <xf numFmtId="0" fontId="12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0" xfId="0" applyFont="1" applyFill="1"/>
    <xf numFmtId="0" fontId="0" fillId="3" borderId="0" xfId="0" applyFill="1" applyAlignment="1">
      <alignment horizontal="center" vertical="center" textRotation="90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Normal" xfId="0" builtinId="0"/>
  </cellStyles>
  <dxfs count="15"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2"/>
        </patternFill>
      </fill>
    </dxf>
    <dxf>
      <fill>
        <patternFill patternType="solid">
          <fgColor indexed="64"/>
          <bgColor theme="2"/>
        </patternFill>
      </fill>
      <alignment horizontal="center" vertical="center" textRotation="90" wrapText="0" indent="0" justifyLastLine="0" shrinkToFit="0" readingOrder="0"/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7202" name="Text Box 1">
          <a:extLst>
            <a:ext uri="{FF2B5EF4-FFF2-40B4-BE49-F238E27FC236}">
              <a16:creationId xmlns:a16="http://schemas.microsoft.com/office/drawing/2014/main" id="{00000000-0008-0000-0000-0000221C0000}"/>
            </a:ext>
          </a:extLst>
        </xdr:cNvPr>
        <xdr:cNvSpPr txBox="1">
          <a:spLocks noChangeArrowheads="1"/>
        </xdr:cNvSpPr>
      </xdr:nvSpPr>
      <xdr:spPr bwMode="auto">
        <a:xfrm>
          <a:off x="85629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5156" name="Text Box 1">
          <a:extLst>
            <a:ext uri="{FF2B5EF4-FFF2-40B4-BE49-F238E27FC236}">
              <a16:creationId xmlns:a16="http://schemas.microsoft.com/office/drawing/2014/main" id="{00000000-0008-0000-0300-00002414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15</xdr:row>
      <xdr:rowOff>0</xdr:rowOff>
    </xdr:from>
    <xdr:to>
      <xdr:col>10</xdr:col>
      <xdr:colOff>628650</xdr:colOff>
      <xdr:row>16</xdr:row>
      <xdr:rowOff>57150</xdr:rowOff>
    </xdr:to>
    <xdr:sp macro="" textlink="">
      <xdr:nvSpPr>
        <xdr:cNvPr id="3144" name="Text Box 1">
          <a:extLst>
            <a:ext uri="{FF2B5EF4-FFF2-40B4-BE49-F238E27FC236}">
              <a16:creationId xmlns:a16="http://schemas.microsoft.com/office/drawing/2014/main" id="{00000000-0008-0000-0400-0000480C0000}"/>
            </a:ext>
          </a:extLst>
        </xdr:cNvPr>
        <xdr:cNvSpPr txBox="1">
          <a:spLocks noChangeArrowheads="1"/>
        </xdr:cNvSpPr>
      </xdr:nvSpPr>
      <xdr:spPr bwMode="auto">
        <a:xfrm>
          <a:off x="7829550" y="333375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145" name="Text Box 1">
          <a:extLst>
            <a:ext uri="{FF2B5EF4-FFF2-40B4-BE49-F238E27FC236}">
              <a16:creationId xmlns:a16="http://schemas.microsoft.com/office/drawing/2014/main" id="{00000000-0008-0000-0400-0000490C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4133" name="Text Box 1">
          <a:extLst>
            <a:ext uri="{FF2B5EF4-FFF2-40B4-BE49-F238E27FC236}">
              <a16:creationId xmlns:a16="http://schemas.microsoft.com/office/drawing/2014/main" id="{00000000-0008-0000-0500-000025100000}"/>
            </a:ext>
          </a:extLst>
        </xdr:cNvPr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7" name="Text Box 1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68" name="Text Box 2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9" name="Text Box 1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70" name="Text Box 2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95250</xdr:rowOff>
    </xdr:from>
    <xdr:to>
      <xdr:col>0</xdr:col>
      <xdr:colOff>85725</xdr:colOff>
      <xdr:row>18</xdr:row>
      <xdr:rowOff>152400</xdr:rowOff>
    </xdr:to>
    <xdr:sp macro="" textlink="">
      <xdr:nvSpPr>
        <xdr:cNvPr id="2121" name="Text Box 1">
          <a:extLst>
            <a:ext uri="{FF2B5EF4-FFF2-40B4-BE49-F238E27FC236}">
              <a16:creationId xmlns:a16="http://schemas.microsoft.com/office/drawing/2014/main" id="{00000000-0008-0000-0700-000049080000}"/>
            </a:ext>
          </a:extLst>
        </xdr:cNvPr>
        <xdr:cNvSpPr txBox="1">
          <a:spLocks noChangeArrowheads="1"/>
        </xdr:cNvSpPr>
      </xdr:nvSpPr>
      <xdr:spPr bwMode="auto">
        <a:xfrm>
          <a:off x="0" y="3800475"/>
          <a:ext cx="85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2122" name="Text Box 2">
          <a:extLst>
            <a:ext uri="{FF2B5EF4-FFF2-40B4-BE49-F238E27FC236}">
              <a16:creationId xmlns:a16="http://schemas.microsoft.com/office/drawing/2014/main" id="{00000000-0008-0000-0700-00004A08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6179" name="Text Box 1">
          <a:extLst>
            <a:ext uri="{FF2B5EF4-FFF2-40B4-BE49-F238E27FC236}">
              <a16:creationId xmlns:a16="http://schemas.microsoft.com/office/drawing/2014/main" id="{00000000-0008-0000-1000-00002318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F4AF92-8DA8-42AB-A978-EB6FE8BFB6F2}" name="Table1" displayName="Table1" ref="A1:M16" totalsRowShown="0" headerRowDxfId="14" dataDxfId="13">
  <autoFilter ref="A1:M16" xr:uid="{CF77DFCD-236B-46CE-957F-D76014136B05}"/>
  <tableColumns count="13">
    <tableColumn id="1" xr3:uid="{3F3E1BEB-B77F-49DB-9787-E03AA17CF2C9}" name="RRCA Deliveries and Seepage" dataDxfId="12"/>
    <tableColumn id="2" xr3:uid="{EA59747E-F504-4E5D-B6B0-8A4B66079652}" name="Column1" dataDxfId="11"/>
    <tableColumn id="3" xr3:uid="{F82C85CA-8B60-4539-8FBA-776B6A5450E3}" name="Column2" dataDxfId="10">
      <calculatedColumnFormula>(culb!G13+culb!J13)*0.82</calculatedColumnFormula>
    </tableColumn>
    <tableColumn id="4" xr3:uid="{C0A9B077-8007-4EC6-BAE4-93031EAA08ED}" name="Column3" dataDxfId="9">
      <calculatedColumnFormula>('culb ext 1'!G13+'culb ext 1'!J13)*0.82</calculatedColumnFormula>
    </tableColumn>
    <tableColumn id="5" xr3:uid="{211ED225-F21C-4B81-94BD-19D355BAB370}" name="Column4" dataDxfId="8">
      <calculatedColumnFormula>('mk drift'!G13+'mk drift'!J13)*0.82</calculatedColumnFormula>
    </tableColumn>
    <tableColumn id="6" xr3:uid="{C5C6A83D-58B0-454C-8BDC-3034CA6379B8}" name="Column5" dataDxfId="7">
      <calculatedColumnFormula>(bartley!G13+bartley!J13)*0.82</calculatedColumnFormula>
    </tableColumn>
    <tableColumn id="7" xr3:uid="{5B2CF80C-59AC-4493-AE04-BA6040E9E03B}" name="Column6" dataDxfId="6">
      <calculatedColumnFormula>('red wil'!G13+'red wil'!J13)*0.82</calculatedColumnFormula>
    </tableColumn>
    <tableColumn id="8" xr3:uid="{AADAFB58-B8E9-46A2-B856-CB472E50B81B}" name="Column7" dataDxfId="5">
      <calculatedColumnFormula>(camb!G13+camb!J13)*0.82</calculatedColumnFormula>
    </tableColumn>
    <tableColumn id="9" xr3:uid="{72D7EC63-1C6A-44B2-8529-E9C9C8B69585}" name="Column8" dataDxfId="4">
      <calculatedColumnFormula>(frnklin!G13+frnklin!J13)*0.82</calculatedColumnFormula>
    </tableColumn>
    <tableColumn id="10" xr3:uid="{71A4C967-C78A-45EB-BE64-C2AC92B209DC}" name="Column9" dataDxfId="3">
      <calculatedColumnFormula>(nap!G13+nap!J13)*0.82</calculatedColumnFormula>
    </tableColumn>
    <tableColumn id="11" xr3:uid="{32E9D731-C9AE-4EDE-B5FB-DE8E3214DB4B}" name="Column10" dataDxfId="2">
      <calculatedColumnFormula>('frnk pmp'!G13+'frnk pmp'!J13)*0.82</calculatedColumnFormula>
    </tableColumn>
    <tableColumn id="12" xr3:uid="{2E31D97D-3481-4AA6-8B62-48EA4A76F3E1}" name="Column11" dataDxfId="1">
      <calculatedColumnFormula>(sup!G13+sup!J13)*0.82</calculatedColumnFormula>
    </tableColumn>
    <tableColumn id="13" xr3:uid="{68571AE8-A592-4641-8376-03716E9AA340}" name="Column12" dataDxfId="0">
      <calculatedColumnFormula>('cout ne'!G13+'cout ne'!J13)*0.82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0"/>
  <sheetViews>
    <sheetView showOutlineSymbols="0" zoomScale="87" zoomScaleNormal="87" workbookViewId="0">
      <selection activeCell="G19" sqref="G19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2" t="s">
        <v>0</v>
      </c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2" t="s">
        <v>0</v>
      </c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55" t="s">
        <v>0</v>
      </c>
      <c r="M5" s="3" t="s">
        <v>0</v>
      </c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99</v>
      </c>
      <c r="C8" s="2"/>
      <c r="D8" s="2"/>
      <c r="E8" s="2"/>
      <c r="F8" s="2"/>
      <c r="G8" s="8" t="s">
        <v>56</v>
      </c>
      <c r="H8" s="2"/>
      <c r="I8" s="2" t="s">
        <v>101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9">
        <v>435</v>
      </c>
      <c r="L9" s="11"/>
      <c r="M9" s="10" t="s">
        <v>77</v>
      </c>
      <c r="N9" s="120">
        <v>2020</v>
      </c>
    </row>
    <row r="10" spans="1:15" ht="18">
      <c r="A10" s="10" t="s">
        <v>6</v>
      </c>
      <c r="B10" s="11" t="s">
        <v>100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 ht="16.5" thickTop="1" thickBot="1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 s="78" customFormat="1" ht="15.75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 s="78" customFormat="1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 s="78" customFormat="1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s="78" customFormat="1" ht="15.75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 s="78" customFormat="1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204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 s="78" customFormat="1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204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 s="78" customFormat="1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204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 s="78" customFormat="1">
      <c r="A19" s="140" t="s">
        <v>12</v>
      </c>
      <c r="B19" s="110">
        <v>925</v>
      </c>
      <c r="C19" s="141">
        <v>0</v>
      </c>
      <c r="D19" s="141">
        <v>0</v>
      </c>
      <c r="E19" s="142">
        <f t="shared" si="0"/>
        <v>925</v>
      </c>
      <c r="F19" s="110">
        <v>0</v>
      </c>
      <c r="G19" s="142">
        <f t="shared" si="1"/>
        <v>925</v>
      </c>
      <c r="H19" s="204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 s="78" customFormat="1">
      <c r="A20" s="140" t="s">
        <v>13</v>
      </c>
      <c r="B20" s="110">
        <v>1862</v>
      </c>
      <c r="C20" s="141">
        <v>0</v>
      </c>
      <c r="D20" s="141">
        <v>0</v>
      </c>
      <c r="E20" s="142">
        <f t="shared" si="0"/>
        <v>1862</v>
      </c>
      <c r="F20" s="110">
        <v>0</v>
      </c>
      <c r="G20" s="142">
        <f t="shared" si="1"/>
        <v>1862</v>
      </c>
      <c r="H20" s="204"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5" s="78" customFormat="1">
      <c r="A21" s="140" t="s">
        <v>14</v>
      </c>
      <c r="B21" s="110">
        <v>1266</v>
      </c>
      <c r="C21" s="141">
        <v>0</v>
      </c>
      <c r="D21" s="141">
        <v>0</v>
      </c>
      <c r="E21" s="142">
        <f t="shared" si="0"/>
        <v>1266</v>
      </c>
      <c r="F21" s="110">
        <v>0</v>
      </c>
      <c r="G21" s="142">
        <f t="shared" si="1"/>
        <v>1079</v>
      </c>
      <c r="H21" s="204">
        <v>187</v>
      </c>
      <c r="I21" s="110">
        <v>9</v>
      </c>
      <c r="J21" s="142">
        <f t="shared" si="3"/>
        <v>134</v>
      </c>
      <c r="K21" s="110">
        <v>0</v>
      </c>
      <c r="L21" s="180">
        <v>44</v>
      </c>
      <c r="M21" s="156">
        <f t="shared" si="4"/>
        <v>44</v>
      </c>
      <c r="N21" s="157">
        <f t="shared" si="5"/>
        <v>0.10100000000000001</v>
      </c>
      <c r="O21" s="17"/>
    </row>
    <row r="22" spans="1:15" s="78" customFormat="1">
      <c r="A22" s="140" t="s">
        <v>15</v>
      </c>
      <c r="B22" s="110">
        <v>891</v>
      </c>
      <c r="C22" s="141">
        <v>0</v>
      </c>
      <c r="D22" s="141">
        <v>0</v>
      </c>
      <c r="E22" s="142">
        <f t="shared" si="0"/>
        <v>891</v>
      </c>
      <c r="F22" s="180">
        <v>0</v>
      </c>
      <c r="G22" s="220">
        <f t="shared" si="1"/>
        <v>697</v>
      </c>
      <c r="H22" s="219">
        <v>194</v>
      </c>
      <c r="I22" s="180">
        <v>41</v>
      </c>
      <c r="J22" s="220">
        <f t="shared" si="3"/>
        <v>50</v>
      </c>
      <c r="K22" s="180">
        <v>0</v>
      </c>
      <c r="L22" s="180">
        <v>103</v>
      </c>
      <c r="M22" s="156">
        <f t="shared" si="4"/>
        <v>103</v>
      </c>
      <c r="N22" s="157">
        <f t="shared" si="5"/>
        <v>0.23699999999999999</v>
      </c>
      <c r="O22" s="17"/>
    </row>
    <row r="23" spans="1:15" s="78" customFormat="1">
      <c r="A23" s="140" t="s">
        <v>16</v>
      </c>
      <c r="B23" s="110">
        <v>710</v>
      </c>
      <c r="C23" s="141">
        <v>0</v>
      </c>
      <c r="D23" s="141">
        <v>0</v>
      </c>
      <c r="E23" s="142">
        <f t="shared" si="0"/>
        <v>710</v>
      </c>
      <c r="F23" s="180">
        <v>0</v>
      </c>
      <c r="G23" s="220">
        <f t="shared" si="1"/>
        <v>505</v>
      </c>
      <c r="H23" s="219">
        <v>205</v>
      </c>
      <c r="I23" s="180">
        <v>39</v>
      </c>
      <c r="J23" s="220">
        <f t="shared" si="3"/>
        <v>56</v>
      </c>
      <c r="K23" s="180">
        <v>0</v>
      </c>
      <c r="L23" s="180">
        <v>110</v>
      </c>
      <c r="M23" s="156">
        <f t="shared" si="4"/>
        <v>110</v>
      </c>
      <c r="N23" s="157">
        <f t="shared" si="5"/>
        <v>0.253</v>
      </c>
      <c r="O23" s="17"/>
    </row>
    <row r="24" spans="1:15" s="78" customFormat="1">
      <c r="A24" s="140" t="s">
        <v>17</v>
      </c>
      <c r="B24" s="110">
        <v>651</v>
      </c>
      <c r="C24" s="141">
        <v>0</v>
      </c>
      <c r="D24" s="141">
        <v>0</v>
      </c>
      <c r="E24" s="142">
        <f t="shared" si="0"/>
        <v>651</v>
      </c>
      <c r="F24" s="180">
        <v>0</v>
      </c>
      <c r="G24" s="220">
        <f t="shared" si="1"/>
        <v>615</v>
      </c>
      <c r="H24" s="219">
        <v>36</v>
      </c>
      <c r="I24" s="180">
        <v>0</v>
      </c>
      <c r="J24" s="220">
        <f t="shared" si="3"/>
        <v>36</v>
      </c>
      <c r="K24" s="180">
        <v>0</v>
      </c>
      <c r="L24" s="180">
        <v>0</v>
      </c>
      <c r="M24" s="156">
        <f t="shared" si="4"/>
        <v>0</v>
      </c>
      <c r="N24" s="157">
        <f t="shared" si="5"/>
        <v>0</v>
      </c>
      <c r="O24" s="17"/>
    </row>
    <row r="25" spans="1:15" s="78" customFormat="1">
      <c r="A25" s="140" t="s">
        <v>18</v>
      </c>
      <c r="B25" s="110">
        <v>417</v>
      </c>
      <c r="C25" s="141">
        <v>0</v>
      </c>
      <c r="D25" s="141">
        <v>0</v>
      </c>
      <c r="E25" s="142">
        <f t="shared" si="0"/>
        <v>417</v>
      </c>
      <c r="F25" s="180">
        <v>0</v>
      </c>
      <c r="G25" s="220">
        <f t="shared" si="1"/>
        <v>417</v>
      </c>
      <c r="H25" s="219">
        <v>0</v>
      </c>
      <c r="I25" s="180">
        <v>0</v>
      </c>
      <c r="J25" s="220">
        <f t="shared" si="3"/>
        <v>0</v>
      </c>
      <c r="K25" s="180">
        <v>0</v>
      </c>
      <c r="L25" s="180">
        <v>0</v>
      </c>
      <c r="M25" s="156">
        <f t="shared" si="4"/>
        <v>0</v>
      </c>
      <c r="N25" s="157">
        <f t="shared" si="5"/>
        <v>0</v>
      </c>
      <c r="O25" s="17"/>
    </row>
    <row r="26" spans="1:15" s="78" customFormat="1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80">
        <v>0</v>
      </c>
      <c r="G26" s="220">
        <f t="shared" si="1"/>
        <v>0</v>
      </c>
      <c r="H26" s="219">
        <f t="shared" si="2"/>
        <v>0</v>
      </c>
      <c r="I26" s="180">
        <v>0</v>
      </c>
      <c r="J26" s="220">
        <f t="shared" si="3"/>
        <v>0</v>
      </c>
      <c r="K26" s="180">
        <v>0</v>
      </c>
      <c r="L26" s="180">
        <v>0</v>
      </c>
      <c r="M26" s="156">
        <f t="shared" si="4"/>
        <v>0</v>
      </c>
      <c r="N26" s="157">
        <f t="shared" si="5"/>
        <v>0</v>
      </c>
      <c r="O26" s="17"/>
    </row>
    <row r="27" spans="1:15" s="78" customFormat="1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80">
        <v>0</v>
      </c>
      <c r="G27" s="220">
        <f t="shared" si="1"/>
        <v>0</v>
      </c>
      <c r="H27" s="219">
        <f t="shared" si="2"/>
        <v>0</v>
      </c>
      <c r="I27" s="180">
        <v>0</v>
      </c>
      <c r="J27" s="220">
        <f t="shared" si="3"/>
        <v>0</v>
      </c>
      <c r="K27" s="180">
        <v>0</v>
      </c>
      <c r="L27" s="180">
        <v>0</v>
      </c>
      <c r="M27" s="156">
        <f t="shared" si="4"/>
        <v>0</v>
      </c>
      <c r="N27" s="157">
        <f t="shared" si="5"/>
        <v>0</v>
      </c>
      <c r="O27" s="17"/>
    </row>
    <row r="28" spans="1:15" s="78" customFormat="1" ht="15.75" thickBot="1">
      <c r="A28" s="140" t="s">
        <v>21</v>
      </c>
      <c r="B28" s="158">
        <f>SUM(B16:B27)</f>
        <v>6722</v>
      </c>
      <c r="C28" s="158">
        <f>SUM(C16:C27)</f>
        <v>0</v>
      </c>
      <c r="D28" s="158">
        <f>SUM(D16:D27)</f>
        <v>0</v>
      </c>
      <c r="E28" s="158">
        <f>SUM(E16:E27)</f>
        <v>6722</v>
      </c>
      <c r="F28" s="158">
        <f>SUM(F16:F27)</f>
        <v>0</v>
      </c>
      <c r="G28" s="158">
        <f t="shared" si="1"/>
        <v>6100</v>
      </c>
      <c r="H28" s="158">
        <f>SUM(H16:H27)</f>
        <v>622</v>
      </c>
      <c r="I28" s="158">
        <f>SUM(I16:I27)</f>
        <v>89</v>
      </c>
      <c r="J28" s="158">
        <f t="shared" si="3"/>
        <v>276</v>
      </c>
      <c r="K28" s="158">
        <f>SUM(K16:K27)</f>
        <v>0</v>
      </c>
      <c r="L28" s="158">
        <f>SUM(L16:L27)</f>
        <v>257</v>
      </c>
      <c r="M28" s="159">
        <f>SUM(M16:M27)</f>
        <v>257</v>
      </c>
      <c r="N28" s="160">
        <f t="shared" si="5"/>
        <v>0.59099999999999997</v>
      </c>
      <c r="O28" s="17"/>
    </row>
    <row r="29" spans="1:15" s="78" customFormat="1" ht="15.75" thickTop="1">
      <c r="A29" s="138" t="s">
        <v>22</v>
      </c>
      <c r="B29" s="161"/>
      <c r="C29" s="161"/>
      <c r="D29" s="161"/>
      <c r="E29" s="161">
        <f t="shared" ref="E29:M29" si="6">ROUND(+E28/$K$9,2)</f>
        <v>15.45</v>
      </c>
      <c r="F29" s="161">
        <f t="shared" si="6"/>
        <v>0</v>
      </c>
      <c r="G29" s="161">
        <f t="shared" si="6"/>
        <v>14.02</v>
      </c>
      <c r="H29" s="161">
        <f t="shared" si="6"/>
        <v>1.43</v>
      </c>
      <c r="I29" s="161">
        <f t="shared" si="6"/>
        <v>0.2</v>
      </c>
      <c r="J29" s="161">
        <f t="shared" si="6"/>
        <v>0.63</v>
      </c>
      <c r="K29" s="161">
        <f t="shared" si="6"/>
        <v>0</v>
      </c>
      <c r="L29" s="161">
        <f t="shared" si="6"/>
        <v>0.59</v>
      </c>
      <c r="M29" s="162">
        <f t="shared" si="6"/>
        <v>0.59</v>
      </c>
      <c r="N29" s="163"/>
      <c r="O29" s="17"/>
    </row>
    <row r="30" spans="1:15" s="78" customFormat="1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0</v>
      </c>
      <c r="G30" s="145">
        <f t="shared" si="7"/>
        <v>90.746801547158583</v>
      </c>
      <c r="H30" s="145">
        <f t="shared" si="7"/>
        <v>9.2531984528414153</v>
      </c>
      <c r="I30" s="145">
        <f t="shared" si="7"/>
        <v>1.3240107110978874</v>
      </c>
      <c r="J30" s="145">
        <f t="shared" si="7"/>
        <v>4.1059208568878311</v>
      </c>
      <c r="K30" s="145">
        <f t="shared" si="7"/>
        <v>0</v>
      </c>
      <c r="L30" s="145">
        <f t="shared" si="7"/>
        <v>3.8232668848556979</v>
      </c>
      <c r="M30" s="165">
        <f t="shared" si="7"/>
        <v>3.8232668848556979</v>
      </c>
      <c r="N30" s="157"/>
      <c r="O30" s="17"/>
    </row>
    <row r="31" spans="1:15" s="78" customFormat="1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 s="78" customFormat="1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 s="78" customFormat="1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 s="78" customFormat="1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 s="78" customFormat="1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 s="78" customFormat="1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 s="78" customFormat="1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38" spans="1:15" ht="33">
      <c r="D38" s="194"/>
      <c r="E38" s="210"/>
      <c r="F38" s="210"/>
      <c r="G38" s="210"/>
    </row>
    <row r="39" spans="1:15">
      <c r="O39" s="44"/>
    </row>
    <row r="40" spans="1:15" ht="23.25">
      <c r="B40" s="194"/>
      <c r="C40" s="194"/>
      <c r="D40" s="194"/>
      <c r="E40" s="194"/>
      <c r="F40" s="194"/>
      <c r="G40" s="194"/>
      <c r="H40" s="194"/>
      <c r="I40" s="194"/>
      <c r="J40" s="194"/>
    </row>
  </sheetData>
  <phoneticPr fontId="0" type="noConversion"/>
  <pageMargins left="0.5" right="0.5" top="0.5" bottom="0.5" header="0" footer="0"/>
  <pageSetup scale="81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41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78" customWidth="1"/>
    <col min="2" max="14" width="8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174</v>
      </c>
      <c r="C8" s="74"/>
      <c r="D8" s="74"/>
      <c r="E8" s="74"/>
      <c r="F8" s="74"/>
      <c r="G8" s="82" t="s">
        <v>56</v>
      </c>
      <c r="H8" s="74"/>
      <c r="I8" s="74" t="s">
        <v>91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1">
        <v>817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115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/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92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93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167" t="s">
        <v>9</v>
      </c>
      <c r="B16" s="111">
        <v>0</v>
      </c>
      <c r="C16" s="142">
        <v>0</v>
      </c>
      <c r="D16" s="142">
        <v>0</v>
      </c>
      <c r="E16" s="142">
        <f t="shared" ref="E16:E27" si="0">B16+C16-D16</f>
        <v>0</v>
      </c>
      <c r="F16" s="217">
        <v>0</v>
      </c>
      <c r="G16" s="142">
        <f t="shared" ref="G16:G28" si="1">E16-F16-H16-K16</f>
        <v>0</v>
      </c>
      <c r="H16" s="111">
        <v>0</v>
      </c>
      <c r="I16" s="111">
        <v>0</v>
      </c>
      <c r="J16" s="142">
        <f t="shared" ref="J16:J28" si="2">H16-I16-L16</f>
        <v>0</v>
      </c>
      <c r="K16" s="217">
        <v>0</v>
      </c>
      <c r="L16" s="111">
        <v>0</v>
      </c>
      <c r="M16" s="142">
        <f t="shared" ref="M16:M27" si="3">SUM(K16:L16)</f>
        <v>0</v>
      </c>
      <c r="N16" s="167">
        <f t="shared" ref="N16:N28" si="4">ROUND(+M16/$K$9,3)</f>
        <v>0</v>
      </c>
      <c r="O16" s="85"/>
    </row>
    <row r="17" spans="1:15">
      <c r="A17" s="167" t="s">
        <v>10</v>
      </c>
      <c r="B17" s="111">
        <v>0</v>
      </c>
      <c r="C17" s="142">
        <v>0</v>
      </c>
      <c r="D17" s="142">
        <v>0</v>
      </c>
      <c r="E17" s="142">
        <f t="shared" si="0"/>
        <v>0</v>
      </c>
      <c r="F17" s="217">
        <v>0</v>
      </c>
      <c r="G17" s="142">
        <f t="shared" si="1"/>
        <v>0</v>
      </c>
      <c r="H17" s="111">
        <v>0</v>
      </c>
      <c r="I17" s="111">
        <v>0</v>
      </c>
      <c r="J17" s="142">
        <f t="shared" si="2"/>
        <v>0</v>
      </c>
      <c r="K17" s="217">
        <v>0</v>
      </c>
      <c r="L17" s="111">
        <v>0</v>
      </c>
      <c r="M17" s="142">
        <f t="shared" si="3"/>
        <v>0</v>
      </c>
      <c r="N17" s="167">
        <f t="shared" si="4"/>
        <v>0</v>
      </c>
      <c r="O17" s="85"/>
    </row>
    <row r="18" spans="1:15">
      <c r="A18" s="167" t="s">
        <v>11</v>
      </c>
      <c r="B18" s="111">
        <v>0</v>
      </c>
      <c r="C18" s="142">
        <v>0</v>
      </c>
      <c r="D18" s="142">
        <v>0</v>
      </c>
      <c r="E18" s="142">
        <f t="shared" si="0"/>
        <v>0</v>
      </c>
      <c r="F18" s="217">
        <v>0</v>
      </c>
      <c r="G18" s="142">
        <f t="shared" si="1"/>
        <v>0</v>
      </c>
      <c r="H18" s="111">
        <v>0</v>
      </c>
      <c r="I18" s="111">
        <v>0</v>
      </c>
      <c r="J18" s="142">
        <f t="shared" si="2"/>
        <v>0</v>
      </c>
      <c r="K18" s="217">
        <v>0</v>
      </c>
      <c r="L18" s="111">
        <v>0</v>
      </c>
      <c r="M18" s="142">
        <f t="shared" si="3"/>
        <v>0</v>
      </c>
      <c r="N18" s="167">
        <f t="shared" si="4"/>
        <v>0</v>
      </c>
      <c r="O18" s="85"/>
    </row>
    <row r="19" spans="1:15">
      <c r="A19" s="167" t="s">
        <v>12</v>
      </c>
      <c r="B19" s="111">
        <v>0</v>
      </c>
      <c r="C19" s="142">
        <v>0</v>
      </c>
      <c r="D19" s="142">
        <v>0</v>
      </c>
      <c r="E19" s="142">
        <f t="shared" si="0"/>
        <v>0</v>
      </c>
      <c r="F19" s="217">
        <v>0</v>
      </c>
      <c r="G19" s="142">
        <f t="shared" si="1"/>
        <v>0</v>
      </c>
      <c r="H19" s="111">
        <v>0</v>
      </c>
      <c r="I19" s="111">
        <v>0</v>
      </c>
      <c r="J19" s="142">
        <f t="shared" si="2"/>
        <v>0</v>
      </c>
      <c r="K19" s="217">
        <v>0</v>
      </c>
      <c r="L19" s="111">
        <v>0</v>
      </c>
      <c r="M19" s="142">
        <f t="shared" si="3"/>
        <v>0</v>
      </c>
      <c r="N19" s="167">
        <f t="shared" si="4"/>
        <v>0</v>
      </c>
      <c r="O19" s="85"/>
    </row>
    <row r="20" spans="1:15">
      <c r="A20" s="167" t="s">
        <v>13</v>
      </c>
      <c r="B20" s="111">
        <v>0</v>
      </c>
      <c r="C20" s="142">
        <v>0</v>
      </c>
      <c r="D20" s="142">
        <v>0</v>
      </c>
      <c r="E20" s="142">
        <f t="shared" si="0"/>
        <v>0</v>
      </c>
      <c r="F20" s="217">
        <v>0</v>
      </c>
      <c r="G20" s="142">
        <f t="shared" si="1"/>
        <v>0</v>
      </c>
      <c r="H20" s="111">
        <v>0</v>
      </c>
      <c r="I20" s="111">
        <v>0</v>
      </c>
      <c r="J20" s="142">
        <f t="shared" si="2"/>
        <v>0</v>
      </c>
      <c r="K20" s="217">
        <v>0</v>
      </c>
      <c r="L20" s="111">
        <v>0</v>
      </c>
      <c r="M20" s="142">
        <f t="shared" si="3"/>
        <v>0</v>
      </c>
      <c r="N20" s="167">
        <f t="shared" si="4"/>
        <v>0</v>
      </c>
      <c r="O20" s="85"/>
    </row>
    <row r="21" spans="1:15">
      <c r="A21" s="167" t="s">
        <v>14</v>
      </c>
      <c r="B21" s="111">
        <v>163</v>
      </c>
      <c r="C21" s="142">
        <v>0</v>
      </c>
      <c r="D21" s="142">
        <v>0</v>
      </c>
      <c r="E21" s="142">
        <f t="shared" si="0"/>
        <v>163</v>
      </c>
      <c r="F21" s="217">
        <v>25</v>
      </c>
      <c r="G21" s="142">
        <f t="shared" si="1"/>
        <v>98</v>
      </c>
      <c r="H21" s="111">
        <v>0</v>
      </c>
      <c r="I21" s="111">
        <v>0</v>
      </c>
      <c r="J21" s="142">
        <f t="shared" si="2"/>
        <v>0</v>
      </c>
      <c r="K21" s="217">
        <v>40</v>
      </c>
      <c r="L21" s="111">
        <v>0</v>
      </c>
      <c r="M21" s="142">
        <f t="shared" si="3"/>
        <v>40</v>
      </c>
      <c r="N21" s="167">
        <f t="shared" si="4"/>
        <v>4.9000000000000002E-2</v>
      </c>
      <c r="O21" s="85"/>
    </row>
    <row r="22" spans="1:15">
      <c r="A22" s="167" t="s">
        <v>15</v>
      </c>
      <c r="B22" s="111">
        <v>417</v>
      </c>
      <c r="C22" s="142">
        <v>0</v>
      </c>
      <c r="D22" s="142">
        <v>0</v>
      </c>
      <c r="E22" s="142">
        <f t="shared" si="0"/>
        <v>417</v>
      </c>
      <c r="F22" s="217">
        <v>52</v>
      </c>
      <c r="G22" s="142">
        <f t="shared" si="1"/>
        <v>297</v>
      </c>
      <c r="H22" s="111">
        <v>0</v>
      </c>
      <c r="I22" s="111">
        <v>0</v>
      </c>
      <c r="J22" s="142">
        <f t="shared" si="2"/>
        <v>0</v>
      </c>
      <c r="K22" s="217">
        <v>68</v>
      </c>
      <c r="L22" s="111">
        <v>0</v>
      </c>
      <c r="M22" s="142">
        <f t="shared" si="3"/>
        <v>68</v>
      </c>
      <c r="N22" s="167">
        <f t="shared" si="4"/>
        <v>8.3000000000000004E-2</v>
      </c>
      <c r="O22" s="85"/>
    </row>
    <row r="23" spans="1:15">
      <c r="A23" s="167" t="s">
        <v>16</v>
      </c>
      <c r="B23" s="111">
        <v>800</v>
      </c>
      <c r="C23" s="142">
        <v>0</v>
      </c>
      <c r="D23" s="142">
        <v>0</v>
      </c>
      <c r="E23" s="142">
        <f t="shared" si="0"/>
        <v>800</v>
      </c>
      <c r="F23" s="217">
        <v>140</v>
      </c>
      <c r="G23" s="142">
        <f t="shared" si="1"/>
        <v>450</v>
      </c>
      <c r="H23" s="111">
        <v>0</v>
      </c>
      <c r="I23" s="111">
        <v>0</v>
      </c>
      <c r="J23" s="142">
        <f t="shared" si="2"/>
        <v>0</v>
      </c>
      <c r="K23" s="217">
        <v>210</v>
      </c>
      <c r="L23" s="111">
        <v>0</v>
      </c>
      <c r="M23" s="142">
        <f t="shared" si="3"/>
        <v>210</v>
      </c>
      <c r="N23" s="167">
        <f t="shared" si="4"/>
        <v>0.25700000000000001</v>
      </c>
      <c r="O23" s="85"/>
    </row>
    <row r="24" spans="1:15">
      <c r="A24" s="167" t="s">
        <v>17</v>
      </c>
      <c r="B24" s="111">
        <v>213</v>
      </c>
      <c r="C24" s="142">
        <v>0</v>
      </c>
      <c r="D24" s="142">
        <v>0</v>
      </c>
      <c r="E24" s="142">
        <f t="shared" si="0"/>
        <v>213</v>
      </c>
      <c r="F24" s="217">
        <v>125</v>
      </c>
      <c r="G24" s="142">
        <f t="shared" si="1"/>
        <v>50</v>
      </c>
      <c r="H24" s="111">
        <v>0</v>
      </c>
      <c r="I24" s="111">
        <v>0</v>
      </c>
      <c r="J24" s="142">
        <f t="shared" si="2"/>
        <v>0</v>
      </c>
      <c r="K24" s="217">
        <v>38</v>
      </c>
      <c r="L24" s="111">
        <v>0</v>
      </c>
      <c r="M24" s="142">
        <f t="shared" si="3"/>
        <v>38</v>
      </c>
      <c r="N24" s="167">
        <f t="shared" si="4"/>
        <v>4.7E-2</v>
      </c>
      <c r="O24" s="85"/>
    </row>
    <row r="25" spans="1:15">
      <c r="A25" s="167" t="s">
        <v>18</v>
      </c>
      <c r="B25" s="111">
        <v>0</v>
      </c>
      <c r="C25" s="142">
        <v>0</v>
      </c>
      <c r="D25" s="142">
        <v>0</v>
      </c>
      <c r="E25" s="142">
        <f t="shared" si="0"/>
        <v>0</v>
      </c>
      <c r="F25" s="217">
        <v>0</v>
      </c>
      <c r="G25" s="142">
        <f t="shared" si="1"/>
        <v>0</v>
      </c>
      <c r="H25" s="111">
        <v>0</v>
      </c>
      <c r="I25" s="111">
        <v>0</v>
      </c>
      <c r="J25" s="142">
        <f t="shared" si="2"/>
        <v>0</v>
      </c>
      <c r="K25" s="217">
        <v>0</v>
      </c>
      <c r="L25" s="111">
        <v>0</v>
      </c>
      <c r="M25" s="142">
        <f t="shared" si="3"/>
        <v>0</v>
      </c>
      <c r="N25" s="167">
        <f t="shared" si="4"/>
        <v>0</v>
      </c>
      <c r="O25" s="85"/>
    </row>
    <row r="26" spans="1:15">
      <c r="A26" s="167" t="s">
        <v>19</v>
      </c>
      <c r="B26" s="111">
        <v>0</v>
      </c>
      <c r="C26" s="142">
        <v>0</v>
      </c>
      <c r="D26" s="142">
        <v>0</v>
      </c>
      <c r="E26" s="142">
        <f t="shared" si="0"/>
        <v>0</v>
      </c>
      <c r="F26" s="217">
        <v>0</v>
      </c>
      <c r="G26" s="142">
        <f t="shared" si="1"/>
        <v>0</v>
      </c>
      <c r="H26" s="111">
        <v>0</v>
      </c>
      <c r="I26" s="111">
        <v>0</v>
      </c>
      <c r="J26" s="142">
        <f t="shared" si="2"/>
        <v>0</v>
      </c>
      <c r="K26" s="217">
        <v>0</v>
      </c>
      <c r="L26" s="111">
        <v>0</v>
      </c>
      <c r="M26" s="142">
        <f t="shared" si="3"/>
        <v>0</v>
      </c>
      <c r="N26" s="167">
        <f t="shared" si="4"/>
        <v>0</v>
      </c>
      <c r="O26" s="85"/>
    </row>
    <row r="27" spans="1:15">
      <c r="A27" s="167" t="s">
        <v>20</v>
      </c>
      <c r="B27" s="111">
        <v>0</v>
      </c>
      <c r="C27" s="142">
        <v>0</v>
      </c>
      <c r="D27" s="142">
        <v>0</v>
      </c>
      <c r="E27" s="142">
        <f t="shared" si="0"/>
        <v>0</v>
      </c>
      <c r="F27" s="217">
        <v>0</v>
      </c>
      <c r="G27" s="142">
        <f t="shared" si="1"/>
        <v>0</v>
      </c>
      <c r="H27" s="111">
        <v>0</v>
      </c>
      <c r="I27" s="111">
        <v>0</v>
      </c>
      <c r="J27" s="142">
        <f t="shared" si="2"/>
        <v>0</v>
      </c>
      <c r="K27" s="217">
        <v>0</v>
      </c>
      <c r="L27" s="111">
        <v>0</v>
      </c>
      <c r="M27" s="142">
        <f t="shared" si="3"/>
        <v>0</v>
      </c>
      <c r="N27" s="167">
        <f t="shared" si="4"/>
        <v>0</v>
      </c>
      <c r="O27" s="85"/>
    </row>
    <row r="28" spans="1:15" ht="15.75" thickBot="1">
      <c r="A28" s="174" t="s">
        <v>21</v>
      </c>
      <c r="B28" s="158">
        <f>SUM(B16:B27)</f>
        <v>1593</v>
      </c>
      <c r="C28" s="158">
        <f>SUM(C16:C27)</f>
        <v>0</v>
      </c>
      <c r="D28" s="158">
        <f>SUM(D16:D27)</f>
        <v>0</v>
      </c>
      <c r="E28" s="158">
        <f>SUM(E16:E27)</f>
        <v>1593</v>
      </c>
      <c r="F28" s="158">
        <f>SUM(F16:F27)</f>
        <v>342</v>
      </c>
      <c r="G28" s="158">
        <f t="shared" si="1"/>
        <v>895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356</v>
      </c>
      <c r="L28" s="158">
        <f>SUM(L16:L27)</f>
        <v>0</v>
      </c>
      <c r="M28" s="158">
        <f>SUM(M16:M27)</f>
        <v>356</v>
      </c>
      <c r="N28" s="168">
        <f t="shared" si="4"/>
        <v>0.436</v>
      </c>
      <c r="O28" s="85"/>
    </row>
    <row r="29" spans="1:15" ht="15.75" thickTop="1">
      <c r="A29" s="170" t="s">
        <v>22</v>
      </c>
      <c r="B29" s="170"/>
      <c r="C29" s="170"/>
      <c r="D29" s="170"/>
      <c r="E29" s="170">
        <f t="shared" ref="E29:M29" si="5">ROUND(+E28/$K$9,2)</f>
        <v>1.95</v>
      </c>
      <c r="F29" s="170">
        <f t="shared" si="5"/>
        <v>0.42</v>
      </c>
      <c r="G29" s="170">
        <f t="shared" si="5"/>
        <v>1.1000000000000001</v>
      </c>
      <c r="H29" s="170">
        <f t="shared" si="5"/>
        <v>0</v>
      </c>
      <c r="I29" s="170">
        <f t="shared" si="5"/>
        <v>0</v>
      </c>
      <c r="J29" s="170">
        <f t="shared" si="5"/>
        <v>0</v>
      </c>
      <c r="K29" s="170">
        <f t="shared" si="5"/>
        <v>0.44</v>
      </c>
      <c r="L29" s="170">
        <f t="shared" si="5"/>
        <v>0</v>
      </c>
      <c r="M29" s="170">
        <f t="shared" si="5"/>
        <v>0.44</v>
      </c>
      <c r="N29" s="170"/>
      <c r="O29" s="85"/>
    </row>
    <row r="30" spans="1:15" ht="15.75" thickBot="1">
      <c r="A30" s="167" t="s">
        <v>23</v>
      </c>
      <c r="B30" s="167"/>
      <c r="C30" s="167"/>
      <c r="D30" s="167"/>
      <c r="E30" s="167">
        <f t="shared" ref="E30:M30" si="6">E28/$E$28*100</f>
        <v>100</v>
      </c>
      <c r="F30" s="145">
        <f t="shared" si="6"/>
        <v>21.468926553672315</v>
      </c>
      <c r="G30" s="145">
        <f t="shared" si="6"/>
        <v>56.183301946013806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22.347771500313872</v>
      </c>
      <c r="L30" s="145">
        <f t="shared" si="6"/>
        <v>0</v>
      </c>
      <c r="M30" s="145">
        <f t="shared" si="6"/>
        <v>22.347771500313872</v>
      </c>
      <c r="N30" s="167"/>
      <c r="O30" s="85"/>
    </row>
    <row r="31" spans="1:15" ht="15.75" thickTop="1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</row>
    <row r="32" spans="1:15">
      <c r="A32" s="75" t="s">
        <v>24</v>
      </c>
      <c r="B32" s="75" t="s">
        <v>33</v>
      </c>
      <c r="C32" s="172"/>
      <c r="D32" s="172"/>
      <c r="E32" s="172"/>
      <c r="F32" s="172"/>
      <c r="G32" s="172"/>
      <c r="H32" s="172"/>
      <c r="I32" s="75" t="s">
        <v>66</v>
      </c>
      <c r="J32" s="172"/>
      <c r="K32" s="172"/>
      <c r="L32" s="172"/>
      <c r="M32" s="172"/>
      <c r="N32" s="172"/>
    </row>
    <row r="33" spans="1:15">
      <c r="A33" s="75"/>
      <c r="B33" s="75" t="s">
        <v>34</v>
      </c>
      <c r="C33" s="172"/>
      <c r="D33" s="172"/>
      <c r="E33" s="172"/>
      <c r="F33" s="172"/>
      <c r="G33" s="172"/>
      <c r="H33" s="172"/>
      <c r="I33" s="75" t="s">
        <v>67</v>
      </c>
      <c r="J33" s="172"/>
      <c r="K33" s="172"/>
      <c r="L33" s="172"/>
      <c r="M33" s="172"/>
      <c r="N33" s="172"/>
    </row>
    <row r="34" spans="1:15">
      <c r="A34" s="75"/>
      <c r="B34" s="75" t="s">
        <v>35</v>
      </c>
      <c r="C34" s="172"/>
      <c r="D34" s="172"/>
      <c r="E34" s="172"/>
      <c r="F34" s="172"/>
      <c r="G34" s="172"/>
      <c r="H34" s="172"/>
      <c r="I34" s="75" t="s">
        <v>68</v>
      </c>
      <c r="J34" s="172"/>
      <c r="K34" s="172"/>
      <c r="L34" s="172"/>
      <c r="M34" s="172"/>
      <c r="N34" s="172"/>
    </row>
    <row r="35" spans="1:15">
      <c r="A35" s="75"/>
      <c r="B35" s="75" t="s">
        <v>36</v>
      </c>
      <c r="C35" s="172"/>
      <c r="D35" s="172"/>
      <c r="E35" s="172"/>
      <c r="F35" s="172"/>
      <c r="G35" s="172"/>
      <c r="H35" s="172"/>
      <c r="I35" s="75" t="s">
        <v>69</v>
      </c>
      <c r="J35" s="172"/>
      <c r="K35" s="172"/>
      <c r="L35" s="172"/>
      <c r="M35" s="172"/>
      <c r="N35" s="172"/>
    </row>
    <row r="36" spans="1:15">
      <c r="A36" s="76"/>
      <c r="B36" s="172"/>
      <c r="C36" s="172" t="s">
        <v>0</v>
      </c>
      <c r="D36" s="172" t="s">
        <v>0</v>
      </c>
      <c r="E36" s="172" t="s">
        <v>0</v>
      </c>
      <c r="F36" s="172"/>
      <c r="G36" s="172"/>
      <c r="H36" s="172"/>
      <c r="I36" s="75"/>
      <c r="J36" s="172"/>
      <c r="K36" s="172"/>
      <c r="L36" s="172"/>
      <c r="M36" s="172"/>
      <c r="N36" s="172"/>
      <c r="O36" s="77"/>
    </row>
    <row r="37" spans="1:15">
      <c r="A37" s="172"/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41" spans="1:15" ht="23.25">
      <c r="B41" s="196"/>
      <c r="C41" s="196"/>
      <c r="D41" s="196"/>
      <c r="E41" s="196"/>
      <c r="F41" s="196"/>
      <c r="G41" s="196"/>
      <c r="H41" s="196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43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113</v>
      </c>
      <c r="C8" s="2"/>
      <c r="D8" s="2"/>
      <c r="E8" s="2"/>
      <c r="F8" s="2"/>
      <c r="G8" s="8" t="s">
        <v>56</v>
      </c>
      <c r="H8" s="2"/>
      <c r="I8" s="2" t="s">
        <v>91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9">
        <v>864</v>
      </c>
      <c r="L9" s="11"/>
      <c r="M9" s="10" t="s">
        <v>77</v>
      </c>
      <c r="N9" s="120">
        <v>2020</v>
      </c>
    </row>
    <row r="10" spans="1:15" ht="18">
      <c r="A10" s="10" t="s">
        <v>6</v>
      </c>
      <c r="B10" s="11" t="s">
        <v>87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93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</row>
    <row r="17" spans="1:14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</row>
    <row r="18" spans="1:14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</row>
    <row r="19" spans="1:14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</row>
    <row r="20" spans="1:14">
      <c r="A20" s="140" t="s">
        <v>13</v>
      </c>
      <c r="B20" s="110">
        <v>0</v>
      </c>
      <c r="C20" s="141">
        <v>0</v>
      </c>
      <c r="D20" s="141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</row>
    <row r="21" spans="1:14">
      <c r="A21" s="140" t="s">
        <v>14</v>
      </c>
      <c r="B21" s="110">
        <v>9</v>
      </c>
      <c r="C21" s="141">
        <v>0</v>
      </c>
      <c r="D21" s="141">
        <v>0</v>
      </c>
      <c r="E21" s="142">
        <f t="shared" si="0"/>
        <v>9</v>
      </c>
      <c r="F21" s="110">
        <v>0</v>
      </c>
      <c r="G21" s="142">
        <f t="shared" si="1"/>
        <v>9</v>
      </c>
      <c r="H21" s="110">
        <v>0</v>
      </c>
      <c r="I21" s="110">
        <v>0</v>
      </c>
      <c r="J21" s="142">
        <f t="shared" si="2"/>
        <v>0</v>
      </c>
      <c r="K21" s="110">
        <v>0</v>
      </c>
      <c r="L21" s="110">
        <v>0</v>
      </c>
      <c r="M21" s="142">
        <f t="shared" si="3"/>
        <v>0</v>
      </c>
      <c r="N21" s="140">
        <f t="shared" si="4"/>
        <v>0</v>
      </c>
    </row>
    <row r="22" spans="1:14">
      <c r="A22" s="140" t="s">
        <v>15</v>
      </c>
      <c r="B22" s="110">
        <v>381</v>
      </c>
      <c r="C22" s="141">
        <v>0</v>
      </c>
      <c r="D22" s="141">
        <v>0</v>
      </c>
      <c r="E22" s="142">
        <f t="shared" si="0"/>
        <v>381</v>
      </c>
      <c r="F22" s="110">
        <v>43</v>
      </c>
      <c r="G22" s="142">
        <f t="shared" si="1"/>
        <v>218</v>
      </c>
      <c r="H22" s="110">
        <v>0</v>
      </c>
      <c r="I22" s="110">
        <v>0</v>
      </c>
      <c r="J22" s="142">
        <f t="shared" si="2"/>
        <v>0</v>
      </c>
      <c r="K22" s="110">
        <v>120</v>
      </c>
      <c r="L22" s="110">
        <v>0</v>
      </c>
      <c r="M22" s="142">
        <f t="shared" si="3"/>
        <v>120</v>
      </c>
      <c r="N22" s="140">
        <f t="shared" si="4"/>
        <v>0.13900000000000001</v>
      </c>
    </row>
    <row r="23" spans="1:14">
      <c r="A23" s="140" t="s">
        <v>16</v>
      </c>
      <c r="B23" s="110">
        <v>676</v>
      </c>
      <c r="C23" s="141">
        <v>0</v>
      </c>
      <c r="D23" s="141">
        <v>0</v>
      </c>
      <c r="E23" s="142">
        <f t="shared" si="0"/>
        <v>676</v>
      </c>
      <c r="F23" s="110">
        <v>39</v>
      </c>
      <c r="G23" s="142">
        <f t="shared" si="1"/>
        <v>381</v>
      </c>
      <c r="H23" s="110">
        <v>0</v>
      </c>
      <c r="I23" s="110">
        <v>0</v>
      </c>
      <c r="J23" s="142">
        <f t="shared" si="2"/>
        <v>0</v>
      </c>
      <c r="K23" s="110">
        <v>256</v>
      </c>
      <c r="L23" s="110">
        <v>0</v>
      </c>
      <c r="M23" s="142">
        <f t="shared" si="3"/>
        <v>256</v>
      </c>
      <c r="N23" s="140">
        <f t="shared" si="4"/>
        <v>0.29599999999999999</v>
      </c>
    </row>
    <row r="24" spans="1:14">
      <c r="A24" s="140" t="s">
        <v>17</v>
      </c>
      <c r="B24" s="110">
        <v>124</v>
      </c>
      <c r="C24" s="141">
        <v>0</v>
      </c>
      <c r="D24" s="141">
        <v>0</v>
      </c>
      <c r="E24" s="142">
        <f t="shared" si="0"/>
        <v>124</v>
      </c>
      <c r="F24" s="110">
        <v>29</v>
      </c>
      <c r="G24" s="142">
        <f t="shared" si="1"/>
        <v>19</v>
      </c>
      <c r="H24" s="110">
        <v>0</v>
      </c>
      <c r="I24" s="110">
        <v>0</v>
      </c>
      <c r="J24" s="142">
        <f t="shared" si="2"/>
        <v>0</v>
      </c>
      <c r="K24" s="110">
        <v>76</v>
      </c>
      <c r="L24" s="110">
        <v>0</v>
      </c>
      <c r="M24" s="142">
        <f t="shared" si="3"/>
        <v>76</v>
      </c>
      <c r="N24" s="140">
        <f t="shared" si="4"/>
        <v>8.7999999999999995E-2</v>
      </c>
    </row>
    <row r="25" spans="1:14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</row>
    <row r="26" spans="1:14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</row>
    <row r="27" spans="1:14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</row>
    <row r="28" spans="1:14" ht="15.75" thickBot="1">
      <c r="A28" s="140" t="s">
        <v>21</v>
      </c>
      <c r="B28" s="158">
        <f>SUM(B16:B27)</f>
        <v>1190</v>
      </c>
      <c r="C28" s="158">
        <f>SUM(C16:C27)</f>
        <v>0</v>
      </c>
      <c r="D28" s="158">
        <f>SUM(D16:D27)</f>
        <v>0</v>
      </c>
      <c r="E28" s="158">
        <f>SUM(E16:E27)</f>
        <v>1190</v>
      </c>
      <c r="F28" s="158">
        <f>SUM(F16:F27)</f>
        <v>111</v>
      </c>
      <c r="G28" s="158">
        <f t="shared" si="1"/>
        <v>627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452</v>
      </c>
      <c r="L28" s="158">
        <f>SUM(L16:L27)</f>
        <v>0</v>
      </c>
      <c r="M28" s="158">
        <f>SUM(M16:M27)</f>
        <v>452</v>
      </c>
      <c r="N28" s="143">
        <f t="shared" si="4"/>
        <v>0.52300000000000002</v>
      </c>
    </row>
    <row r="29" spans="1:14" ht="15.75" thickTop="1">
      <c r="A29" s="138" t="s">
        <v>22</v>
      </c>
      <c r="B29" s="139"/>
      <c r="C29" s="139"/>
      <c r="D29" s="139"/>
      <c r="E29" s="161">
        <f t="shared" ref="E29:M29" si="5">ROUND(+E28/$K$9,2)</f>
        <v>1.38</v>
      </c>
      <c r="F29" s="161">
        <f t="shared" si="5"/>
        <v>0.13</v>
      </c>
      <c r="G29" s="161">
        <f t="shared" si="5"/>
        <v>0.73</v>
      </c>
      <c r="H29" s="161">
        <f t="shared" si="5"/>
        <v>0</v>
      </c>
      <c r="I29" s="161">
        <f t="shared" si="5"/>
        <v>0</v>
      </c>
      <c r="J29" s="161">
        <f t="shared" si="5"/>
        <v>0</v>
      </c>
      <c r="K29" s="161">
        <f t="shared" si="5"/>
        <v>0.52</v>
      </c>
      <c r="L29" s="161">
        <f t="shared" si="5"/>
        <v>0</v>
      </c>
      <c r="M29" s="161">
        <f t="shared" si="5"/>
        <v>0.52</v>
      </c>
      <c r="N29" s="139"/>
    </row>
    <row r="30" spans="1:14" ht="15.75" thickBot="1">
      <c r="A30" s="140" t="s">
        <v>23</v>
      </c>
      <c r="B30" s="140"/>
      <c r="C30" s="140"/>
      <c r="D30" s="140"/>
      <c r="E30" s="145">
        <f t="shared" ref="E30:M30" si="6">E28/$E$28*100</f>
        <v>100</v>
      </c>
      <c r="F30" s="145">
        <f t="shared" si="6"/>
        <v>9.3277310924369754</v>
      </c>
      <c r="G30" s="145">
        <f t="shared" si="6"/>
        <v>52.689075630252105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37.983193277310924</v>
      </c>
      <c r="L30" s="145">
        <f t="shared" si="6"/>
        <v>0</v>
      </c>
      <c r="M30" s="145">
        <f t="shared" si="6"/>
        <v>37.983193277310924</v>
      </c>
      <c r="N30" s="140"/>
    </row>
    <row r="31" spans="1:14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4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4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4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4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4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</row>
    <row r="37" spans="1:14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43" spans="1:14" ht="23.25">
      <c r="B43" s="194"/>
      <c r="C43" s="194"/>
      <c r="D43" s="194"/>
      <c r="E43" s="194"/>
      <c r="F43" s="194"/>
      <c r="G43" s="194"/>
      <c r="H43" s="194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40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78" customWidth="1"/>
    <col min="2" max="14" width="8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180</v>
      </c>
      <c r="C8" s="74"/>
      <c r="D8" s="74"/>
      <c r="E8" s="74"/>
      <c r="F8" s="74"/>
      <c r="G8" s="82" t="s">
        <v>56</v>
      </c>
      <c r="H8" s="74"/>
      <c r="I8" s="74" t="s">
        <v>91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1">
        <v>5471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87</v>
      </c>
      <c r="C10" s="84"/>
      <c r="D10" s="84"/>
      <c r="E10" s="84"/>
      <c r="F10" s="84"/>
      <c r="G10" s="83" t="s">
        <v>58</v>
      </c>
      <c r="H10" s="84"/>
      <c r="I10" s="84"/>
      <c r="J10" s="84"/>
      <c r="K10" s="192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/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92</v>
      </c>
      <c r="L14" s="90" t="s">
        <v>30</v>
      </c>
      <c r="M14" s="90"/>
      <c r="N14" s="89" t="s">
        <v>80</v>
      </c>
      <c r="O14" s="85"/>
    </row>
    <row r="15" spans="1:15">
      <c r="A15" s="128"/>
      <c r="B15" s="128" t="s">
        <v>32</v>
      </c>
      <c r="C15" s="128" t="s">
        <v>40</v>
      </c>
      <c r="D15" s="128" t="s">
        <v>32</v>
      </c>
      <c r="E15" s="128"/>
      <c r="F15" s="128" t="s">
        <v>55</v>
      </c>
      <c r="G15" s="128" t="s">
        <v>60</v>
      </c>
      <c r="H15" s="128" t="s">
        <v>62</v>
      </c>
      <c r="I15" s="129"/>
      <c r="J15" s="128"/>
      <c r="K15" s="128" t="s">
        <v>93</v>
      </c>
      <c r="L15" s="128" t="s">
        <v>76</v>
      </c>
      <c r="M15" s="128" t="s">
        <v>21</v>
      </c>
      <c r="N15" s="130" t="s">
        <v>81</v>
      </c>
      <c r="O15" s="85"/>
    </row>
    <row r="16" spans="1:15">
      <c r="A16" s="167" t="s">
        <v>9</v>
      </c>
      <c r="B16" s="111">
        <v>0</v>
      </c>
      <c r="C16" s="142">
        <v>0</v>
      </c>
      <c r="D16" s="142">
        <v>0</v>
      </c>
      <c r="E16" s="142">
        <f t="shared" ref="E16:E27" si="0">B16+C16-D16</f>
        <v>0</v>
      </c>
      <c r="F16" s="111">
        <v>0</v>
      </c>
      <c r="G16" s="142">
        <f t="shared" ref="G16:G28" si="1">E16-F16-H16-K16</f>
        <v>0</v>
      </c>
      <c r="H16" s="111">
        <v>0</v>
      </c>
      <c r="I16" s="111">
        <v>0</v>
      </c>
      <c r="J16" s="142">
        <f t="shared" ref="J16:J28" si="2">H16-I16-L16</f>
        <v>0</v>
      </c>
      <c r="K16" s="111">
        <v>0</v>
      </c>
      <c r="L16" s="111">
        <v>0</v>
      </c>
      <c r="M16" s="142">
        <f t="shared" ref="M16:M27" si="3">SUM(K16:L16)</f>
        <v>0</v>
      </c>
      <c r="N16" s="167">
        <f t="shared" ref="N16:N28" si="4">ROUND(+M16/$K$9,3)</f>
        <v>0</v>
      </c>
      <c r="O16" s="85"/>
    </row>
    <row r="17" spans="1:15">
      <c r="A17" s="167" t="s">
        <v>10</v>
      </c>
      <c r="B17" s="111">
        <v>0</v>
      </c>
      <c r="C17" s="142">
        <v>0</v>
      </c>
      <c r="D17" s="142">
        <v>0</v>
      </c>
      <c r="E17" s="142">
        <f t="shared" si="0"/>
        <v>0</v>
      </c>
      <c r="F17" s="111">
        <v>0</v>
      </c>
      <c r="G17" s="142">
        <f t="shared" si="1"/>
        <v>0</v>
      </c>
      <c r="H17" s="111">
        <v>0</v>
      </c>
      <c r="I17" s="111">
        <v>0</v>
      </c>
      <c r="J17" s="142">
        <f t="shared" si="2"/>
        <v>0</v>
      </c>
      <c r="K17" s="111">
        <v>0</v>
      </c>
      <c r="L17" s="111">
        <v>0</v>
      </c>
      <c r="M17" s="142">
        <f t="shared" si="3"/>
        <v>0</v>
      </c>
      <c r="N17" s="167">
        <f t="shared" si="4"/>
        <v>0</v>
      </c>
      <c r="O17" s="85"/>
    </row>
    <row r="18" spans="1:15">
      <c r="A18" s="167" t="s">
        <v>11</v>
      </c>
      <c r="B18" s="111">
        <v>0</v>
      </c>
      <c r="C18" s="142">
        <v>0</v>
      </c>
      <c r="D18" s="142">
        <v>0</v>
      </c>
      <c r="E18" s="142">
        <f t="shared" si="0"/>
        <v>0</v>
      </c>
      <c r="F18" s="111">
        <v>0</v>
      </c>
      <c r="G18" s="142">
        <f t="shared" si="1"/>
        <v>0</v>
      </c>
      <c r="H18" s="111">
        <v>0</v>
      </c>
      <c r="I18" s="111">
        <v>0</v>
      </c>
      <c r="J18" s="142">
        <f t="shared" si="2"/>
        <v>0</v>
      </c>
      <c r="K18" s="111">
        <v>0</v>
      </c>
      <c r="L18" s="111">
        <v>0</v>
      </c>
      <c r="M18" s="142">
        <f t="shared" si="3"/>
        <v>0</v>
      </c>
      <c r="N18" s="167">
        <f t="shared" si="4"/>
        <v>0</v>
      </c>
      <c r="O18" s="85"/>
    </row>
    <row r="19" spans="1:15">
      <c r="A19" s="167" t="s">
        <v>12</v>
      </c>
      <c r="B19" s="111">
        <v>0</v>
      </c>
      <c r="C19" s="142">
        <v>0</v>
      </c>
      <c r="D19" s="142">
        <v>0</v>
      </c>
      <c r="E19" s="142">
        <f t="shared" si="0"/>
        <v>0</v>
      </c>
      <c r="F19" s="111">
        <v>0</v>
      </c>
      <c r="G19" s="142">
        <f t="shared" si="1"/>
        <v>0</v>
      </c>
      <c r="H19" s="111">
        <v>0</v>
      </c>
      <c r="I19" s="111">
        <v>0</v>
      </c>
      <c r="J19" s="142">
        <f t="shared" si="2"/>
        <v>0</v>
      </c>
      <c r="K19" s="111">
        <v>0</v>
      </c>
      <c r="L19" s="111">
        <v>0</v>
      </c>
      <c r="M19" s="142">
        <f t="shared" si="3"/>
        <v>0</v>
      </c>
      <c r="N19" s="167">
        <f t="shared" si="4"/>
        <v>0</v>
      </c>
      <c r="O19" s="85"/>
    </row>
    <row r="20" spans="1:15">
      <c r="A20" s="167" t="s">
        <v>13</v>
      </c>
      <c r="B20" s="111">
        <v>2147</v>
      </c>
      <c r="C20" s="142">
        <v>0</v>
      </c>
      <c r="D20" s="142">
        <v>0</v>
      </c>
      <c r="E20" s="142">
        <f t="shared" si="0"/>
        <v>2147</v>
      </c>
      <c r="F20" s="111">
        <v>650</v>
      </c>
      <c r="G20" s="142">
        <f t="shared" si="1"/>
        <v>1497</v>
      </c>
      <c r="H20" s="111">
        <v>0</v>
      </c>
      <c r="I20" s="111">
        <v>0</v>
      </c>
      <c r="J20" s="142">
        <f t="shared" si="2"/>
        <v>0</v>
      </c>
      <c r="K20" s="111">
        <v>0</v>
      </c>
      <c r="L20" s="111">
        <v>0</v>
      </c>
      <c r="M20" s="142">
        <f t="shared" si="3"/>
        <v>0</v>
      </c>
      <c r="N20" s="167">
        <f t="shared" si="4"/>
        <v>0</v>
      </c>
      <c r="O20" s="85"/>
    </row>
    <row r="21" spans="1:15">
      <c r="A21" s="167" t="s">
        <v>14</v>
      </c>
      <c r="B21" s="111">
        <v>2326</v>
      </c>
      <c r="C21" s="142">
        <v>0</v>
      </c>
      <c r="D21" s="142">
        <v>0</v>
      </c>
      <c r="E21" s="142">
        <f t="shared" si="0"/>
        <v>2326</v>
      </c>
      <c r="F21" s="111">
        <v>600</v>
      </c>
      <c r="G21" s="142">
        <f t="shared" si="1"/>
        <v>1610</v>
      </c>
      <c r="H21" s="111">
        <v>0</v>
      </c>
      <c r="I21" s="111">
        <v>0</v>
      </c>
      <c r="J21" s="142">
        <f t="shared" si="2"/>
        <v>0</v>
      </c>
      <c r="K21" s="217">
        <v>116</v>
      </c>
      <c r="L21" s="111">
        <v>0</v>
      </c>
      <c r="M21" s="142">
        <f t="shared" si="3"/>
        <v>116</v>
      </c>
      <c r="N21" s="167">
        <f t="shared" si="4"/>
        <v>2.1000000000000001E-2</v>
      </c>
      <c r="O21" s="85"/>
    </row>
    <row r="22" spans="1:15">
      <c r="A22" s="167" t="s">
        <v>15</v>
      </c>
      <c r="B22" s="111">
        <v>2029</v>
      </c>
      <c r="C22" s="142">
        <v>0</v>
      </c>
      <c r="D22" s="142">
        <v>0</v>
      </c>
      <c r="E22" s="142">
        <f t="shared" si="0"/>
        <v>2029</v>
      </c>
      <c r="F22" s="111">
        <v>865</v>
      </c>
      <c r="G22" s="142">
        <f t="shared" si="1"/>
        <v>794</v>
      </c>
      <c r="H22" s="193">
        <v>0</v>
      </c>
      <c r="I22" s="111">
        <v>0</v>
      </c>
      <c r="J22" s="142">
        <f t="shared" si="2"/>
        <v>0</v>
      </c>
      <c r="K22" s="217">
        <v>370</v>
      </c>
      <c r="L22" s="111">
        <v>0</v>
      </c>
      <c r="M22" s="142">
        <f t="shared" si="3"/>
        <v>370</v>
      </c>
      <c r="N22" s="167">
        <f t="shared" si="4"/>
        <v>6.8000000000000005E-2</v>
      </c>
      <c r="O22" s="85"/>
    </row>
    <row r="23" spans="1:15">
      <c r="A23" s="167" t="s">
        <v>16</v>
      </c>
      <c r="B23" s="111">
        <v>2953</v>
      </c>
      <c r="C23" s="142">
        <v>0</v>
      </c>
      <c r="D23" s="142">
        <v>0</v>
      </c>
      <c r="E23" s="142">
        <f t="shared" si="0"/>
        <v>2953</v>
      </c>
      <c r="F23" s="111">
        <v>1393</v>
      </c>
      <c r="G23" s="142">
        <f t="shared" si="1"/>
        <v>710</v>
      </c>
      <c r="H23" s="193">
        <v>0</v>
      </c>
      <c r="I23" s="111">
        <v>0</v>
      </c>
      <c r="J23" s="142">
        <f t="shared" si="2"/>
        <v>0</v>
      </c>
      <c r="K23" s="217">
        <v>850</v>
      </c>
      <c r="L23" s="111">
        <v>0</v>
      </c>
      <c r="M23" s="142">
        <f t="shared" si="3"/>
        <v>850</v>
      </c>
      <c r="N23" s="167">
        <f t="shared" si="4"/>
        <v>0.155</v>
      </c>
      <c r="O23" s="85"/>
    </row>
    <row r="24" spans="1:15">
      <c r="A24" s="167" t="s">
        <v>17</v>
      </c>
      <c r="B24" s="111">
        <v>615</v>
      </c>
      <c r="C24" s="142">
        <v>0</v>
      </c>
      <c r="D24" s="142">
        <v>0</v>
      </c>
      <c r="E24" s="142">
        <f t="shared" si="0"/>
        <v>615</v>
      </c>
      <c r="F24" s="111">
        <v>183</v>
      </c>
      <c r="G24" s="142">
        <f t="shared" si="1"/>
        <v>182</v>
      </c>
      <c r="H24" s="111">
        <v>0</v>
      </c>
      <c r="I24" s="111">
        <v>0</v>
      </c>
      <c r="J24" s="142">
        <f t="shared" si="2"/>
        <v>0</v>
      </c>
      <c r="K24" s="217">
        <v>250</v>
      </c>
      <c r="L24" s="111">
        <v>0</v>
      </c>
      <c r="M24" s="142">
        <f t="shared" si="3"/>
        <v>250</v>
      </c>
      <c r="N24" s="167">
        <f t="shared" si="4"/>
        <v>4.5999999999999999E-2</v>
      </c>
      <c r="O24" s="85"/>
    </row>
    <row r="25" spans="1:15">
      <c r="A25" s="167" t="s">
        <v>18</v>
      </c>
      <c r="B25" s="111">
        <v>0</v>
      </c>
      <c r="C25" s="142">
        <v>0</v>
      </c>
      <c r="D25" s="142">
        <v>0</v>
      </c>
      <c r="E25" s="142">
        <f t="shared" si="0"/>
        <v>0</v>
      </c>
      <c r="F25" s="111">
        <v>0</v>
      </c>
      <c r="G25" s="142">
        <f t="shared" si="1"/>
        <v>0</v>
      </c>
      <c r="H25" s="111">
        <v>0</v>
      </c>
      <c r="I25" s="111">
        <v>0</v>
      </c>
      <c r="J25" s="142">
        <f t="shared" si="2"/>
        <v>0</v>
      </c>
      <c r="K25" s="111">
        <v>0</v>
      </c>
      <c r="L25" s="111">
        <v>0</v>
      </c>
      <c r="M25" s="142">
        <f t="shared" si="3"/>
        <v>0</v>
      </c>
      <c r="N25" s="167">
        <f t="shared" si="4"/>
        <v>0</v>
      </c>
      <c r="O25" s="85"/>
    </row>
    <row r="26" spans="1:15">
      <c r="A26" s="167" t="s">
        <v>19</v>
      </c>
      <c r="B26" s="111">
        <v>0</v>
      </c>
      <c r="C26" s="142">
        <v>0</v>
      </c>
      <c r="D26" s="142">
        <v>0</v>
      </c>
      <c r="E26" s="142">
        <f t="shared" si="0"/>
        <v>0</v>
      </c>
      <c r="F26" s="111">
        <v>0</v>
      </c>
      <c r="G26" s="142">
        <f t="shared" si="1"/>
        <v>0</v>
      </c>
      <c r="H26" s="111">
        <v>0</v>
      </c>
      <c r="I26" s="111">
        <v>0</v>
      </c>
      <c r="J26" s="142">
        <f t="shared" si="2"/>
        <v>0</v>
      </c>
      <c r="K26" s="111">
        <v>0</v>
      </c>
      <c r="L26" s="111">
        <v>0</v>
      </c>
      <c r="M26" s="142">
        <f t="shared" si="3"/>
        <v>0</v>
      </c>
      <c r="N26" s="167">
        <f t="shared" si="4"/>
        <v>0</v>
      </c>
      <c r="O26" s="85"/>
    </row>
    <row r="27" spans="1:15">
      <c r="A27" s="167" t="s">
        <v>20</v>
      </c>
      <c r="B27" s="111">
        <v>0</v>
      </c>
      <c r="C27" s="142">
        <v>0</v>
      </c>
      <c r="D27" s="142">
        <v>0</v>
      </c>
      <c r="E27" s="142">
        <f t="shared" si="0"/>
        <v>0</v>
      </c>
      <c r="F27" s="111">
        <v>0</v>
      </c>
      <c r="G27" s="142">
        <f t="shared" si="1"/>
        <v>0</v>
      </c>
      <c r="H27" s="111">
        <v>0</v>
      </c>
      <c r="I27" s="111">
        <v>0</v>
      </c>
      <c r="J27" s="142">
        <f t="shared" si="2"/>
        <v>0</v>
      </c>
      <c r="K27" s="111">
        <v>0</v>
      </c>
      <c r="L27" s="111">
        <v>0</v>
      </c>
      <c r="M27" s="142">
        <f t="shared" si="3"/>
        <v>0</v>
      </c>
      <c r="N27" s="167">
        <f t="shared" si="4"/>
        <v>0</v>
      </c>
      <c r="O27" s="85"/>
    </row>
    <row r="28" spans="1:15" ht="15.75" thickBot="1">
      <c r="A28" s="167" t="s">
        <v>21</v>
      </c>
      <c r="B28" s="142">
        <f>SUM(B16:B27)</f>
        <v>10070</v>
      </c>
      <c r="C28" s="142">
        <f>SUM(C16:C27)</f>
        <v>0</v>
      </c>
      <c r="D28" s="142">
        <f>SUM(D16:D27)</f>
        <v>0</v>
      </c>
      <c r="E28" s="142">
        <f>SUM(E16:E27)</f>
        <v>10070</v>
      </c>
      <c r="F28" s="142">
        <f>SUM(F16:F27)</f>
        <v>3691</v>
      </c>
      <c r="G28" s="142">
        <f t="shared" si="1"/>
        <v>4793</v>
      </c>
      <c r="H28" s="142">
        <f>SUM(H16:H27)</f>
        <v>0</v>
      </c>
      <c r="I28" s="142">
        <f>SUM(I16:I27)</f>
        <v>0</v>
      </c>
      <c r="J28" s="142">
        <f t="shared" si="2"/>
        <v>0</v>
      </c>
      <c r="K28" s="142">
        <f>SUM(K16:K27)</f>
        <v>1586</v>
      </c>
      <c r="L28" s="142">
        <f>SUM(L16:L27)</f>
        <v>0</v>
      </c>
      <c r="M28" s="142">
        <f>SUM(M16:M27)</f>
        <v>1586</v>
      </c>
      <c r="N28" s="168">
        <f t="shared" si="4"/>
        <v>0.28999999999999998</v>
      </c>
      <c r="O28" s="85"/>
    </row>
    <row r="29" spans="1:15" ht="15.75" thickTop="1">
      <c r="A29" s="169" t="s">
        <v>22</v>
      </c>
      <c r="B29" s="169"/>
      <c r="C29" s="169"/>
      <c r="D29" s="169"/>
      <c r="E29" s="169">
        <f t="shared" ref="E29:M29" si="5">ROUND(+E28/$K$9,2)</f>
        <v>1.84</v>
      </c>
      <c r="F29" s="169">
        <f t="shared" si="5"/>
        <v>0.67</v>
      </c>
      <c r="G29" s="169">
        <f t="shared" si="5"/>
        <v>0.88</v>
      </c>
      <c r="H29" s="169">
        <f t="shared" si="5"/>
        <v>0</v>
      </c>
      <c r="I29" s="169">
        <f t="shared" si="5"/>
        <v>0</v>
      </c>
      <c r="J29" s="169">
        <f t="shared" si="5"/>
        <v>0</v>
      </c>
      <c r="K29" s="169">
        <f t="shared" si="5"/>
        <v>0.28999999999999998</v>
      </c>
      <c r="L29" s="169">
        <f t="shared" si="5"/>
        <v>0</v>
      </c>
      <c r="M29" s="169">
        <f t="shared" si="5"/>
        <v>0.28999999999999998</v>
      </c>
      <c r="N29" s="170"/>
      <c r="O29" s="85"/>
    </row>
    <row r="30" spans="1:15" ht="15.75" thickBot="1">
      <c r="A30" s="167" t="s">
        <v>23</v>
      </c>
      <c r="B30" s="167"/>
      <c r="C30" s="167"/>
      <c r="D30" s="167"/>
      <c r="E30" s="167">
        <f t="shared" ref="E30:M30" si="6">E28/$E$28*100</f>
        <v>100</v>
      </c>
      <c r="F30" s="145">
        <f t="shared" si="6"/>
        <v>36.653426017874871</v>
      </c>
      <c r="G30" s="145">
        <f t="shared" si="6"/>
        <v>47.596822244289974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15.749751737835155</v>
      </c>
      <c r="L30" s="145">
        <f t="shared" si="6"/>
        <v>0</v>
      </c>
      <c r="M30" s="145">
        <f t="shared" si="6"/>
        <v>15.749751737835155</v>
      </c>
      <c r="N30" s="167"/>
      <c r="O30" s="85"/>
    </row>
    <row r="31" spans="1:15" ht="15.75" thickTop="1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</row>
    <row r="32" spans="1:15">
      <c r="A32" s="75" t="s">
        <v>24</v>
      </c>
      <c r="B32" s="75" t="s">
        <v>33</v>
      </c>
      <c r="C32" s="172"/>
      <c r="D32" s="172"/>
      <c r="E32" s="172"/>
      <c r="F32" s="172"/>
      <c r="G32" s="172"/>
      <c r="H32" s="172"/>
      <c r="I32" s="75" t="s">
        <v>66</v>
      </c>
      <c r="J32" s="172"/>
      <c r="K32" s="172"/>
      <c r="L32" s="172"/>
      <c r="M32" s="172"/>
      <c r="N32" s="172"/>
    </row>
    <row r="33" spans="1:15">
      <c r="A33" s="75"/>
      <c r="B33" s="75" t="s">
        <v>34</v>
      </c>
      <c r="C33" s="172"/>
      <c r="D33" s="172"/>
      <c r="E33" s="172"/>
      <c r="F33" s="172"/>
      <c r="G33" s="172"/>
      <c r="H33" s="172"/>
      <c r="I33" s="75" t="s">
        <v>67</v>
      </c>
      <c r="J33" s="172"/>
      <c r="K33" s="172"/>
      <c r="L33" s="172"/>
      <c r="M33" s="172"/>
      <c r="N33" s="172"/>
    </row>
    <row r="34" spans="1:15">
      <c r="A34" s="75"/>
      <c r="B34" s="75" t="s">
        <v>35</v>
      </c>
      <c r="C34" s="172"/>
      <c r="D34" s="172"/>
      <c r="E34" s="172"/>
      <c r="F34" s="172"/>
      <c r="G34" s="172"/>
      <c r="H34" s="172"/>
      <c r="I34" s="75" t="s">
        <v>68</v>
      </c>
      <c r="J34" s="172"/>
      <c r="K34" s="172"/>
      <c r="L34" s="172"/>
      <c r="M34" s="172"/>
      <c r="N34" s="172"/>
    </row>
    <row r="35" spans="1:15">
      <c r="A35" s="75"/>
      <c r="B35" s="75" t="s">
        <v>36</v>
      </c>
      <c r="C35" s="172"/>
      <c r="D35" s="172"/>
      <c r="E35" s="172"/>
      <c r="F35" s="172"/>
      <c r="G35" s="172"/>
      <c r="H35" s="172"/>
      <c r="I35" s="75" t="s">
        <v>69</v>
      </c>
      <c r="J35" s="172"/>
      <c r="K35" s="172"/>
      <c r="L35" s="172"/>
      <c r="M35" s="172"/>
      <c r="N35" s="172"/>
    </row>
    <row r="36" spans="1:15">
      <c r="A36" s="76"/>
      <c r="B36" s="172"/>
      <c r="C36" s="172" t="s">
        <v>0</v>
      </c>
      <c r="D36" s="172" t="s">
        <v>0</v>
      </c>
      <c r="E36" s="172" t="s">
        <v>0</v>
      </c>
      <c r="F36" s="172"/>
      <c r="G36" s="172"/>
      <c r="H36" s="172"/>
      <c r="I36" s="75"/>
      <c r="J36" s="172"/>
      <c r="K36" s="172"/>
      <c r="L36" s="172"/>
      <c r="M36" s="172"/>
      <c r="N36" s="172"/>
      <c r="O36" s="77"/>
    </row>
    <row r="37" spans="1:15">
      <c r="A37" s="77"/>
      <c r="C37" s="78" t="s">
        <v>0</v>
      </c>
      <c r="D37" s="78" t="s">
        <v>0</v>
      </c>
      <c r="E37" s="78" t="s">
        <v>0</v>
      </c>
    </row>
    <row r="38" spans="1:15">
      <c r="A38" s="77"/>
      <c r="C38" s="78" t="s">
        <v>0</v>
      </c>
      <c r="D38" s="78" t="s">
        <v>0</v>
      </c>
      <c r="E38" s="78" t="s">
        <v>0</v>
      </c>
    </row>
    <row r="40" spans="1:15" ht="23.25">
      <c r="B40" s="196"/>
      <c r="C40" s="196"/>
      <c r="D40" s="196"/>
      <c r="E40" s="196"/>
      <c r="F40" s="196"/>
      <c r="G40" s="196"/>
      <c r="H40" s="196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40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" width="9.6640625" style="1" customWidth="1"/>
    <col min="17" max="17" width="43.77734375" style="1" customWidth="1"/>
    <col min="18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8">
      <c r="A8" s="8" t="s">
        <v>4</v>
      </c>
      <c r="B8" s="135" t="s">
        <v>89</v>
      </c>
      <c r="C8" s="135"/>
      <c r="D8" s="135"/>
      <c r="E8" s="135"/>
      <c r="F8" s="135"/>
      <c r="G8" s="8" t="s">
        <v>56</v>
      </c>
      <c r="H8" s="135"/>
      <c r="I8" s="135" t="s">
        <v>91</v>
      </c>
      <c r="J8" s="135"/>
      <c r="K8" s="135"/>
      <c r="L8" s="135"/>
      <c r="M8" s="135"/>
      <c r="N8" s="135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19">
        <v>19090</v>
      </c>
      <c r="L9" s="137"/>
      <c r="M9" s="10" t="s">
        <v>77</v>
      </c>
      <c r="N9" s="120">
        <v>2020</v>
      </c>
    </row>
    <row r="10" spans="1:15" ht="18.75" thickBot="1">
      <c r="A10" s="10" t="s">
        <v>6</v>
      </c>
      <c r="B10" s="137" t="s">
        <v>90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37"/>
      <c r="N10" s="137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127"/>
      <c r="B15" s="127" t="s">
        <v>32</v>
      </c>
      <c r="C15" s="127" t="s">
        <v>40</v>
      </c>
      <c r="D15" s="127" t="s">
        <v>32</v>
      </c>
      <c r="E15" s="127"/>
      <c r="F15" s="127" t="s">
        <v>55</v>
      </c>
      <c r="G15" s="127" t="s">
        <v>60</v>
      </c>
      <c r="H15" s="127" t="s">
        <v>62</v>
      </c>
      <c r="I15" s="203"/>
      <c r="J15" s="127"/>
      <c r="K15" s="132" t="s">
        <v>93</v>
      </c>
      <c r="L15" s="127" t="s">
        <v>76</v>
      </c>
      <c r="M15" s="127" t="s">
        <v>21</v>
      </c>
      <c r="N15" s="125" t="s">
        <v>81</v>
      </c>
      <c r="O15" s="17"/>
    </row>
    <row r="16" spans="1:15">
      <c r="A16" s="140" t="s">
        <v>9</v>
      </c>
      <c r="B16" s="155">
        <f>frnklin!B16+'frnk pmp'!B16+nap!B16+sup!B16+'cout ne'!B16</f>
        <v>0</v>
      </c>
      <c r="C16" s="204">
        <v>0</v>
      </c>
      <c r="D16" s="204">
        <v>0</v>
      </c>
      <c r="E16" s="142">
        <f t="shared" ref="E16:E27" si="0">B16+C16-D16</f>
        <v>0</v>
      </c>
      <c r="F16" s="182">
        <f>frnklin!F16+'frnk pmp'!F16+nap!F16+sup!F16+'cout ne'!F16</f>
        <v>0</v>
      </c>
      <c r="G16" s="142">
        <f t="shared" ref="G16:G28" si="1">E16-F16-H16-K16</f>
        <v>0</v>
      </c>
      <c r="H16" s="182">
        <f>frnklin!H16+'frnk pmp'!H16+nap!H16+sup!H16+'cout ne'!H16</f>
        <v>0</v>
      </c>
      <c r="I16" s="204">
        <v>0</v>
      </c>
      <c r="J16" s="142">
        <f t="shared" ref="J16:J28" si="2">H16-I16-L16</f>
        <v>0</v>
      </c>
      <c r="K16" s="182">
        <f>frnklin!K16+'frnk pmp'!K16+nap!K16+sup!K16+'cout ne'!K16</f>
        <v>0</v>
      </c>
      <c r="L16" s="182">
        <f>frnklin!L16+'frnk pmp'!L16+nap!L16+sup!L16+'cout ne'!L16</f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155">
        <f>frnklin!B17+'frnk pmp'!B17+nap!B17+sup!B17+'cout ne'!B17</f>
        <v>0</v>
      </c>
      <c r="C17" s="204">
        <v>0</v>
      </c>
      <c r="D17" s="204">
        <v>0</v>
      </c>
      <c r="E17" s="142">
        <f t="shared" si="0"/>
        <v>0</v>
      </c>
      <c r="F17" s="182">
        <f>frnklin!F17+'frnk pmp'!F17+nap!F17+sup!F17+'cout ne'!F17</f>
        <v>0</v>
      </c>
      <c r="G17" s="142">
        <f t="shared" si="1"/>
        <v>0</v>
      </c>
      <c r="H17" s="182">
        <f>frnklin!H17+'frnk pmp'!H17+nap!H17+sup!H17+'cout ne'!H17</f>
        <v>0</v>
      </c>
      <c r="I17" s="204">
        <v>0</v>
      </c>
      <c r="J17" s="142">
        <f t="shared" si="2"/>
        <v>0</v>
      </c>
      <c r="K17" s="182">
        <f>frnklin!K17+'frnk pmp'!K17+nap!K17+sup!K17+'cout ne'!K17</f>
        <v>0</v>
      </c>
      <c r="L17" s="182">
        <f>frnklin!L17+'frnk pmp'!L17+nap!L17+sup!L17+'cout ne'!L17</f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155">
        <f>frnklin!B18+'frnk pmp'!B18+nap!B18+sup!B18+'cout ne'!B18</f>
        <v>0</v>
      </c>
      <c r="C18" s="204">
        <v>0</v>
      </c>
      <c r="D18" s="204">
        <v>0</v>
      </c>
      <c r="E18" s="142">
        <f t="shared" si="0"/>
        <v>0</v>
      </c>
      <c r="F18" s="182">
        <f>frnklin!F18+'frnk pmp'!F18+nap!F18+sup!F18+'cout ne'!F18</f>
        <v>0</v>
      </c>
      <c r="G18" s="142">
        <f t="shared" si="1"/>
        <v>0</v>
      </c>
      <c r="H18" s="182">
        <f>frnklin!H18+'frnk pmp'!H18+nap!H18+sup!H18+'cout ne'!H18</f>
        <v>0</v>
      </c>
      <c r="I18" s="204">
        <v>0</v>
      </c>
      <c r="J18" s="142">
        <f t="shared" si="2"/>
        <v>0</v>
      </c>
      <c r="K18" s="182">
        <f>frnklin!K18+'frnk pmp'!K18+nap!K18+sup!K18+'cout ne'!K18</f>
        <v>0</v>
      </c>
      <c r="L18" s="182">
        <f>frnklin!L18+'frnk pmp'!L18+nap!L18+sup!L18+'cout ne'!L18</f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155">
        <f>frnklin!B19+'frnk pmp'!B19+nap!B19+sup!B19+'cout ne'!B19</f>
        <v>0</v>
      </c>
      <c r="C19" s="204">
        <v>0</v>
      </c>
      <c r="D19" s="204">
        <v>0</v>
      </c>
      <c r="E19" s="142">
        <f t="shared" si="0"/>
        <v>0</v>
      </c>
      <c r="F19" s="182">
        <f>frnklin!F19+'frnk pmp'!F19+nap!F19+sup!F19+'cout ne'!F19</f>
        <v>0</v>
      </c>
      <c r="G19" s="142">
        <f t="shared" si="1"/>
        <v>0</v>
      </c>
      <c r="H19" s="182">
        <f>frnklin!H19+'frnk pmp'!H19+nap!H19+sup!H19+'cout ne'!H19</f>
        <v>0</v>
      </c>
      <c r="I19" s="204">
        <v>0</v>
      </c>
      <c r="J19" s="142">
        <f t="shared" si="2"/>
        <v>0</v>
      </c>
      <c r="K19" s="182">
        <f>frnklin!K19+'frnk pmp'!K19+nap!K19+sup!K19+'cout ne'!K19</f>
        <v>0</v>
      </c>
      <c r="L19" s="182">
        <f>frnklin!L19+'frnk pmp'!L19+nap!L19+sup!L19+'cout ne'!L19</f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155">
        <f>frnklin!B20+'frnk pmp'!B20+nap!B20+sup!B20+'cout ne'!B20</f>
        <v>2147</v>
      </c>
      <c r="C20" s="204">
        <v>0</v>
      </c>
      <c r="D20" s="204">
        <v>0</v>
      </c>
      <c r="E20" s="142">
        <f t="shared" si="0"/>
        <v>2147</v>
      </c>
      <c r="F20" s="182">
        <f>frnklin!F20+'frnk pmp'!F20+nap!F20+sup!F20+'cout ne'!F20</f>
        <v>650</v>
      </c>
      <c r="G20" s="142">
        <f t="shared" si="1"/>
        <v>1497</v>
      </c>
      <c r="H20" s="182">
        <f>frnklin!H20+'frnk pmp'!H20+nap!H20+sup!H20+'cout ne'!H20</f>
        <v>0</v>
      </c>
      <c r="I20" s="204">
        <v>0</v>
      </c>
      <c r="J20" s="142">
        <f t="shared" si="2"/>
        <v>0</v>
      </c>
      <c r="K20" s="182">
        <f>frnklin!K20+'frnk pmp'!K20+nap!K20+sup!K20+'cout ne'!K20</f>
        <v>0</v>
      </c>
      <c r="L20" s="182">
        <f>frnklin!L20+'frnk pmp'!L20+nap!L20+sup!L20+'cout ne'!L20</f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155">
        <f>frnklin!B21+'frnk pmp'!B21+nap!B21+sup!B21+'cout ne'!B21</f>
        <v>7041</v>
      </c>
      <c r="C21" s="204">
        <v>0</v>
      </c>
      <c r="D21" s="204">
        <v>0</v>
      </c>
      <c r="E21" s="142">
        <f t="shared" si="0"/>
        <v>7041</v>
      </c>
      <c r="F21" s="182">
        <f>frnklin!F21+'frnk pmp'!F21+nap!F21+sup!F21+'cout ne'!F21</f>
        <v>1570</v>
      </c>
      <c r="G21" s="142">
        <f t="shared" si="1"/>
        <v>4697</v>
      </c>
      <c r="H21" s="182">
        <f>frnklin!H21+'frnk pmp'!H21+nap!H21+sup!H21+'cout ne'!H21</f>
        <v>0</v>
      </c>
      <c r="I21" s="204">
        <v>0</v>
      </c>
      <c r="J21" s="142">
        <f t="shared" si="2"/>
        <v>0</v>
      </c>
      <c r="K21" s="182">
        <f>frnklin!K21+'frnk pmp'!K21+nap!K21+sup!K21+'cout ne'!K21</f>
        <v>774</v>
      </c>
      <c r="L21" s="182">
        <f>frnklin!L21+'frnk pmp'!L21+nap!L21+sup!L21+'cout ne'!L21</f>
        <v>0</v>
      </c>
      <c r="M21" s="142">
        <f t="shared" si="3"/>
        <v>774</v>
      </c>
      <c r="N21" s="140">
        <f t="shared" si="4"/>
        <v>4.1000000000000002E-2</v>
      </c>
      <c r="O21" s="17"/>
    </row>
    <row r="22" spans="1:15">
      <c r="A22" s="140" t="s">
        <v>15</v>
      </c>
      <c r="B22" s="155">
        <f>frnklin!B22+'frnk pmp'!B22+nap!B22+sup!B22+'cout ne'!B22</f>
        <v>9447</v>
      </c>
      <c r="C22" s="204">
        <v>0</v>
      </c>
      <c r="D22" s="204">
        <v>0</v>
      </c>
      <c r="E22" s="142">
        <f t="shared" si="0"/>
        <v>9447</v>
      </c>
      <c r="F22" s="182">
        <f>frnklin!F22+'frnk pmp'!F22+nap!F22+sup!F22+'cout ne'!F22</f>
        <v>1876</v>
      </c>
      <c r="G22" s="142">
        <f t="shared" si="1"/>
        <v>5631.8</v>
      </c>
      <c r="H22" s="182">
        <f>frnklin!H22+'frnk pmp'!H22+nap!H22+sup!H22+'cout ne'!H22</f>
        <v>0</v>
      </c>
      <c r="I22" s="204">
        <v>0</v>
      </c>
      <c r="J22" s="142">
        <f t="shared" si="2"/>
        <v>0</v>
      </c>
      <c r="K22" s="182">
        <f>frnklin!K22+'frnk pmp'!K22+nap!K22+sup!K22+'cout ne'!K22</f>
        <v>1939.2</v>
      </c>
      <c r="L22" s="182">
        <f>frnklin!L22+'frnk pmp'!L22+nap!L22+sup!L22+'cout ne'!L22</f>
        <v>0</v>
      </c>
      <c r="M22" s="142">
        <f t="shared" si="3"/>
        <v>1939.2</v>
      </c>
      <c r="N22" s="140">
        <f t="shared" si="4"/>
        <v>0.10199999999999999</v>
      </c>
      <c r="O22" s="17"/>
    </row>
    <row r="23" spans="1:15">
      <c r="A23" s="140" t="s">
        <v>16</v>
      </c>
      <c r="B23" s="155">
        <f>frnklin!B23+'frnk pmp'!B23+nap!B23+sup!B23+'cout ne'!B23</f>
        <v>13693</v>
      </c>
      <c r="C23" s="204">
        <v>0</v>
      </c>
      <c r="D23" s="204">
        <v>0</v>
      </c>
      <c r="E23" s="142">
        <f t="shared" si="0"/>
        <v>13693</v>
      </c>
      <c r="F23" s="182">
        <f>frnklin!F23+'frnk pmp'!F23+nap!F23+sup!F23+'cout ne'!F23</f>
        <v>2536</v>
      </c>
      <c r="G23" s="142">
        <f t="shared" si="1"/>
        <v>6772</v>
      </c>
      <c r="H23" s="182">
        <f>frnklin!H23+'frnk pmp'!H23+nap!H23+sup!H23+'cout ne'!H23</f>
        <v>0</v>
      </c>
      <c r="I23" s="204">
        <v>0</v>
      </c>
      <c r="J23" s="142">
        <f t="shared" si="2"/>
        <v>0</v>
      </c>
      <c r="K23" s="182">
        <f>frnklin!K23+'frnk pmp'!K23+nap!K23+sup!K23+'cout ne'!K23</f>
        <v>4385</v>
      </c>
      <c r="L23" s="182">
        <f>frnklin!L23+'frnk pmp'!L23+nap!L23+sup!L23+'cout ne'!L23</f>
        <v>0</v>
      </c>
      <c r="M23" s="142">
        <f t="shared" si="3"/>
        <v>4385</v>
      </c>
      <c r="N23" s="140">
        <f t="shared" si="4"/>
        <v>0.23</v>
      </c>
      <c r="O23" s="17"/>
    </row>
    <row r="24" spans="1:15">
      <c r="A24" s="140" t="s">
        <v>17</v>
      </c>
      <c r="B24" s="155">
        <f>frnklin!B24+'frnk pmp'!B24+nap!B24+sup!B24+'cout ne'!B24</f>
        <v>3074</v>
      </c>
      <c r="C24" s="204">
        <v>0</v>
      </c>
      <c r="D24" s="204">
        <v>0</v>
      </c>
      <c r="E24" s="142">
        <f t="shared" si="0"/>
        <v>3074</v>
      </c>
      <c r="F24" s="182">
        <f>frnklin!F24+'frnk pmp'!F24+nap!F24+sup!F24+'cout ne'!F24</f>
        <v>723</v>
      </c>
      <c r="G24" s="142">
        <f t="shared" si="1"/>
        <v>875</v>
      </c>
      <c r="H24" s="182">
        <f>frnklin!H24+'frnk pmp'!H24+nap!H24+sup!H24+'cout ne'!H24</f>
        <v>0</v>
      </c>
      <c r="I24" s="204">
        <v>0</v>
      </c>
      <c r="J24" s="142">
        <f t="shared" si="2"/>
        <v>0</v>
      </c>
      <c r="K24" s="182">
        <f>frnklin!K24+'frnk pmp'!K24+nap!K24+sup!K24+'cout ne'!K24</f>
        <v>1476</v>
      </c>
      <c r="L24" s="182">
        <f>frnklin!L24+'frnk pmp'!L24+nap!L24+sup!L24+'cout ne'!L24</f>
        <v>0</v>
      </c>
      <c r="M24" s="142">
        <f t="shared" si="3"/>
        <v>1476</v>
      </c>
      <c r="N24" s="140">
        <f t="shared" si="4"/>
        <v>7.6999999999999999E-2</v>
      </c>
      <c r="O24" s="17"/>
    </row>
    <row r="25" spans="1:15">
      <c r="A25" s="140" t="s">
        <v>18</v>
      </c>
      <c r="B25" s="155">
        <f>frnklin!B25+'frnk pmp'!B25+nap!B25+sup!B25+'cout ne'!B25</f>
        <v>0</v>
      </c>
      <c r="C25" s="204">
        <v>0</v>
      </c>
      <c r="D25" s="204">
        <v>0</v>
      </c>
      <c r="E25" s="142">
        <f t="shared" si="0"/>
        <v>0</v>
      </c>
      <c r="F25" s="182">
        <f>frnklin!F25+'frnk pmp'!F25+nap!F25+sup!F25+'cout ne'!F25</f>
        <v>0</v>
      </c>
      <c r="G25" s="142">
        <f t="shared" si="1"/>
        <v>0</v>
      </c>
      <c r="H25" s="182">
        <f>frnklin!H25+'frnk pmp'!H25+nap!H25+sup!H25+'cout ne'!H25</f>
        <v>0</v>
      </c>
      <c r="I25" s="204">
        <v>0</v>
      </c>
      <c r="J25" s="142">
        <f t="shared" si="2"/>
        <v>0</v>
      </c>
      <c r="K25" s="182">
        <f>frnklin!K25+'frnk pmp'!K25+nap!K25+sup!K25+'cout ne'!K25</f>
        <v>0</v>
      </c>
      <c r="L25" s="182">
        <f>frnklin!L25+'frnk pmp'!L25+nap!L25+sup!L25+'cout ne'!L25</f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155">
        <f>frnklin!B26+'frnk pmp'!B26+nap!B26+sup!B26+'cout ne'!B26</f>
        <v>0</v>
      </c>
      <c r="C26" s="204">
        <v>0</v>
      </c>
      <c r="D26" s="204">
        <v>0</v>
      </c>
      <c r="E26" s="142">
        <f t="shared" si="0"/>
        <v>0</v>
      </c>
      <c r="F26" s="182">
        <f>frnklin!F26+'frnk pmp'!F26+nap!F26+sup!F26+'cout ne'!F26</f>
        <v>0</v>
      </c>
      <c r="G26" s="142">
        <f t="shared" si="1"/>
        <v>0</v>
      </c>
      <c r="H26" s="182">
        <f>frnklin!H26+'frnk pmp'!H26+nap!H26+sup!H26+'cout ne'!H26</f>
        <v>0</v>
      </c>
      <c r="I26" s="204">
        <v>0</v>
      </c>
      <c r="J26" s="142">
        <f t="shared" si="2"/>
        <v>0</v>
      </c>
      <c r="K26" s="182">
        <f>frnklin!K26+'frnk pmp'!K26+nap!K26+sup!K26+'cout ne'!K26</f>
        <v>0</v>
      </c>
      <c r="L26" s="182">
        <f>frnklin!L26+'frnk pmp'!L26+nap!L26+sup!L26+'cout ne'!L26</f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155">
        <f>frnklin!B27+'frnk pmp'!B27+nap!B27+sup!B27+'cout ne'!B27</f>
        <v>0</v>
      </c>
      <c r="C27" s="204">
        <v>0</v>
      </c>
      <c r="D27" s="204">
        <v>0</v>
      </c>
      <c r="E27" s="142">
        <f t="shared" si="0"/>
        <v>0</v>
      </c>
      <c r="F27" s="182">
        <f>frnklin!F27+'frnk pmp'!F27+nap!F27+sup!F27+'cout ne'!F27</f>
        <v>0</v>
      </c>
      <c r="G27" s="142">
        <f t="shared" si="1"/>
        <v>0</v>
      </c>
      <c r="H27" s="182">
        <f>frnklin!H27+'frnk pmp'!H27+nap!H27+sup!H27+'cout ne'!H27</f>
        <v>0</v>
      </c>
      <c r="I27" s="204">
        <v>0</v>
      </c>
      <c r="J27" s="142">
        <f t="shared" si="2"/>
        <v>0</v>
      </c>
      <c r="K27" s="182">
        <f>frnklin!K27+'frnk pmp'!K27+nap!K27+sup!K27+'cout ne'!K27</f>
        <v>0</v>
      </c>
      <c r="L27" s="182">
        <f>frnklin!L27+'frnk pmp'!L27+nap!L27+sup!L27+'cout ne'!L27</f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40" t="s">
        <v>21</v>
      </c>
      <c r="B28" s="155">
        <f>frnklin!B28+'frnk pmp'!B28+nap!B28+sup!B28+'cout ne'!B28</f>
        <v>35402</v>
      </c>
      <c r="C28" s="207">
        <f>SUM(C16:C27)</f>
        <v>0</v>
      </c>
      <c r="D28" s="207">
        <f>SUM(D16:D27)</f>
        <v>0</v>
      </c>
      <c r="E28" s="158">
        <f>SUM(E16:E27)</f>
        <v>35402</v>
      </c>
      <c r="F28" s="182">
        <f>frnklin!F28+'frnk pmp'!F28+nap!F28+sup!F28+'cout ne'!F28</f>
        <v>7355</v>
      </c>
      <c r="G28" s="158">
        <f t="shared" si="1"/>
        <v>19472.8</v>
      </c>
      <c r="H28" s="182">
        <f>frnklin!H28+'frnk pmp'!H28+nap!H28+sup!H28+'cout ne'!H28</f>
        <v>0</v>
      </c>
      <c r="I28" s="207">
        <f>SUM(I16:I27)</f>
        <v>0</v>
      </c>
      <c r="J28" s="158">
        <f t="shared" si="2"/>
        <v>0</v>
      </c>
      <c r="K28" s="182">
        <f>frnklin!K28+'frnk pmp'!K28+nap!K28+sup!K28+'cout ne'!K28</f>
        <v>8574.2000000000007</v>
      </c>
      <c r="L28" s="182">
        <f>frnklin!L28+'frnk pmp'!L28+nap!L28+sup!L28+'cout ne'!L28</f>
        <v>0</v>
      </c>
      <c r="M28" s="158">
        <f>SUM(M16:M27)</f>
        <v>8574.2000000000007</v>
      </c>
      <c r="N28" s="143">
        <f t="shared" si="4"/>
        <v>0.44900000000000001</v>
      </c>
      <c r="O28" s="17"/>
    </row>
    <row r="29" spans="1:15" ht="15.75" thickTop="1">
      <c r="A29" s="138" t="s">
        <v>22</v>
      </c>
      <c r="B29" s="138"/>
      <c r="C29" s="138"/>
      <c r="D29" s="138"/>
      <c r="E29" s="144">
        <f t="shared" ref="E29:M29" si="5">ROUND(+E28/$K$9,2)</f>
        <v>1.85</v>
      </c>
      <c r="F29" s="144">
        <f t="shared" si="5"/>
        <v>0.39</v>
      </c>
      <c r="G29" s="144">
        <f t="shared" si="5"/>
        <v>1.02</v>
      </c>
      <c r="H29" s="144">
        <f t="shared" si="5"/>
        <v>0</v>
      </c>
      <c r="I29" s="144">
        <f t="shared" si="5"/>
        <v>0</v>
      </c>
      <c r="J29" s="144">
        <f t="shared" si="5"/>
        <v>0</v>
      </c>
      <c r="K29" s="144">
        <f t="shared" si="5"/>
        <v>0.45</v>
      </c>
      <c r="L29" s="144">
        <f t="shared" si="5"/>
        <v>0</v>
      </c>
      <c r="M29" s="144">
        <f t="shared" si="5"/>
        <v>0.45</v>
      </c>
      <c r="N29" s="138"/>
      <c r="O29" s="17"/>
    </row>
    <row r="30" spans="1:15" ht="15.75" thickBot="1">
      <c r="A30" s="140" t="s">
        <v>23</v>
      </c>
      <c r="B30" s="140"/>
      <c r="C30" s="140"/>
      <c r="D30" s="140"/>
      <c r="E30" s="145">
        <f t="shared" ref="E30:M30" si="6">E28/$E$28*100</f>
        <v>100</v>
      </c>
      <c r="F30" s="145">
        <f t="shared" si="6"/>
        <v>20.775662391955258</v>
      </c>
      <c r="G30" s="145">
        <f t="shared" si="6"/>
        <v>55.004801988588213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24.219535619456529</v>
      </c>
      <c r="L30" s="145">
        <f t="shared" si="6"/>
        <v>0</v>
      </c>
      <c r="M30" s="145">
        <f t="shared" si="6"/>
        <v>24.219535619456529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5">
      <c r="A38" s="7"/>
      <c r="C38" s="1" t="s">
        <v>0</v>
      </c>
      <c r="D38" s="1" t="s">
        <v>0</v>
      </c>
      <c r="E38" s="166" t="s">
        <v>0</v>
      </c>
    </row>
    <row r="40" spans="1:15" ht="23.25">
      <c r="B40" s="1" t="s">
        <v>0</v>
      </c>
      <c r="C40" s="194"/>
      <c r="D40" s="194"/>
      <c r="E40" s="194"/>
      <c r="F40" s="194"/>
      <c r="G40" s="194"/>
      <c r="H40" s="194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38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8">
      <c r="A8" s="8" t="s">
        <v>4</v>
      </c>
      <c r="B8" s="135" t="s">
        <v>183</v>
      </c>
      <c r="C8" s="135"/>
      <c r="D8" s="135"/>
      <c r="E8" s="135"/>
      <c r="F8" s="135"/>
      <c r="G8" s="8" t="s">
        <v>56</v>
      </c>
      <c r="H8" s="135"/>
      <c r="I8" s="135" t="s">
        <v>91</v>
      </c>
      <c r="J8" s="135"/>
      <c r="K8" s="135"/>
      <c r="L8" s="135"/>
      <c r="M8" s="135"/>
      <c r="N8" s="135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19">
        <v>859</v>
      </c>
      <c r="L9" s="137"/>
      <c r="M9" s="10" t="s">
        <v>77</v>
      </c>
      <c r="N9" s="120">
        <v>2020</v>
      </c>
    </row>
    <row r="10" spans="1:15" ht="18.75" thickBot="1">
      <c r="A10" s="10" t="s">
        <v>6</v>
      </c>
      <c r="B10" s="137" t="s">
        <v>87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37"/>
      <c r="N10" s="137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 ht="15.75" thickBot="1">
      <c r="A15" s="188"/>
      <c r="B15" s="188" t="s">
        <v>32</v>
      </c>
      <c r="C15" s="188" t="s">
        <v>40</v>
      </c>
      <c r="D15" s="188" t="s">
        <v>32</v>
      </c>
      <c r="E15" s="188"/>
      <c r="F15" s="188" t="s">
        <v>55</v>
      </c>
      <c r="G15" s="188" t="s">
        <v>60</v>
      </c>
      <c r="H15" s="188" t="s">
        <v>62</v>
      </c>
      <c r="I15" s="189"/>
      <c r="J15" s="188"/>
      <c r="K15" s="188" t="s">
        <v>93</v>
      </c>
      <c r="L15" s="188" t="s">
        <v>76</v>
      </c>
      <c r="M15" s="188" t="s">
        <v>21</v>
      </c>
      <c r="N15" s="187" t="s">
        <v>81</v>
      </c>
      <c r="O15" s="17"/>
    </row>
    <row r="16" spans="1:15">
      <c r="A16" s="140" t="s">
        <v>9</v>
      </c>
      <c r="B16" s="204">
        <v>0</v>
      </c>
      <c r="C16" s="204">
        <v>0</v>
      </c>
      <c r="D16" s="204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204">
        <v>0</v>
      </c>
      <c r="C17" s="204">
        <v>0</v>
      </c>
      <c r="D17" s="204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204">
        <v>0</v>
      </c>
      <c r="C18" s="204">
        <v>0</v>
      </c>
      <c r="D18" s="204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204">
        <v>0</v>
      </c>
      <c r="C19" s="204">
        <v>0</v>
      </c>
      <c r="D19" s="204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204">
        <v>0</v>
      </c>
      <c r="C20" s="204">
        <v>0</v>
      </c>
      <c r="D20" s="204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204">
        <v>71</v>
      </c>
      <c r="C21" s="204">
        <v>0</v>
      </c>
      <c r="D21" s="204">
        <v>0</v>
      </c>
      <c r="E21" s="142">
        <f t="shared" si="0"/>
        <v>71</v>
      </c>
      <c r="F21" s="110">
        <v>0</v>
      </c>
      <c r="G21" s="142">
        <f t="shared" si="1"/>
        <v>17</v>
      </c>
      <c r="H21" s="110">
        <v>0</v>
      </c>
      <c r="I21" s="110">
        <v>0</v>
      </c>
      <c r="J21" s="142">
        <f t="shared" si="2"/>
        <v>0</v>
      </c>
      <c r="K21" s="110">
        <v>54</v>
      </c>
      <c r="L21" s="110">
        <v>0</v>
      </c>
      <c r="M21" s="142">
        <f t="shared" si="3"/>
        <v>54</v>
      </c>
      <c r="N21" s="140">
        <f t="shared" si="4"/>
        <v>6.3E-2</v>
      </c>
      <c r="O21" s="17"/>
    </row>
    <row r="22" spans="1:15">
      <c r="A22" s="140" t="s">
        <v>15</v>
      </c>
      <c r="B22" s="204">
        <v>172</v>
      </c>
      <c r="C22" s="204">
        <v>0</v>
      </c>
      <c r="D22" s="204">
        <v>0</v>
      </c>
      <c r="E22" s="142">
        <f t="shared" si="0"/>
        <v>172</v>
      </c>
      <c r="F22" s="110">
        <v>0</v>
      </c>
      <c r="G22" s="142">
        <f t="shared" si="1"/>
        <v>26</v>
      </c>
      <c r="H22" s="110">
        <v>0</v>
      </c>
      <c r="I22" s="110">
        <v>0</v>
      </c>
      <c r="J22" s="142">
        <f t="shared" si="2"/>
        <v>0</v>
      </c>
      <c r="K22" s="110">
        <v>146</v>
      </c>
      <c r="L22" s="110">
        <v>0</v>
      </c>
      <c r="M22" s="142">
        <f t="shared" si="3"/>
        <v>146</v>
      </c>
      <c r="N22" s="140">
        <f t="shared" si="4"/>
        <v>0.17</v>
      </c>
      <c r="O22" s="17"/>
    </row>
    <row r="23" spans="1:15">
      <c r="A23" s="140" t="s">
        <v>16</v>
      </c>
      <c r="B23" s="204">
        <v>222</v>
      </c>
      <c r="C23" s="204">
        <v>0</v>
      </c>
      <c r="D23" s="204">
        <v>0</v>
      </c>
      <c r="E23" s="142">
        <f t="shared" si="0"/>
        <v>222</v>
      </c>
      <c r="F23" s="110">
        <v>0</v>
      </c>
      <c r="G23" s="142">
        <f t="shared" si="1"/>
        <v>40</v>
      </c>
      <c r="H23" s="110">
        <v>0</v>
      </c>
      <c r="I23" s="110">
        <v>0</v>
      </c>
      <c r="J23" s="142">
        <f t="shared" si="2"/>
        <v>0</v>
      </c>
      <c r="K23" s="110">
        <v>182</v>
      </c>
      <c r="L23" s="110">
        <v>0</v>
      </c>
      <c r="M23" s="142">
        <f t="shared" si="3"/>
        <v>182</v>
      </c>
      <c r="N23" s="140">
        <f t="shared" si="4"/>
        <v>0.21199999999999999</v>
      </c>
      <c r="O23" s="17"/>
    </row>
    <row r="24" spans="1:15">
      <c r="A24" s="140" t="s">
        <v>17</v>
      </c>
      <c r="B24" s="204">
        <v>31</v>
      </c>
      <c r="C24" s="204">
        <v>0</v>
      </c>
      <c r="D24" s="204">
        <v>0</v>
      </c>
      <c r="E24" s="142">
        <f t="shared" si="0"/>
        <v>31</v>
      </c>
      <c r="F24" s="110">
        <v>0</v>
      </c>
      <c r="G24" s="142">
        <f t="shared" si="1"/>
        <v>3</v>
      </c>
      <c r="H24" s="110">
        <v>0</v>
      </c>
      <c r="I24" s="110">
        <v>0</v>
      </c>
      <c r="J24" s="142">
        <f t="shared" si="2"/>
        <v>0</v>
      </c>
      <c r="K24" s="110">
        <v>28</v>
      </c>
      <c r="L24" s="110">
        <v>0</v>
      </c>
      <c r="M24" s="142">
        <f t="shared" si="3"/>
        <v>28</v>
      </c>
      <c r="N24" s="140">
        <f t="shared" si="4"/>
        <v>3.3000000000000002E-2</v>
      </c>
      <c r="O24" s="17"/>
    </row>
    <row r="25" spans="1:15">
      <c r="A25" s="140" t="s">
        <v>18</v>
      </c>
      <c r="B25" s="204">
        <v>0</v>
      </c>
      <c r="C25" s="204">
        <v>0</v>
      </c>
      <c r="D25" s="204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204">
        <v>0</v>
      </c>
      <c r="C26" s="204">
        <v>0</v>
      </c>
      <c r="D26" s="204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204">
        <v>0</v>
      </c>
      <c r="C27" s="204">
        <v>0</v>
      </c>
      <c r="D27" s="204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40" t="s">
        <v>21</v>
      </c>
      <c r="B28" s="208">
        <f>SUM(B16:B27)</f>
        <v>496</v>
      </c>
      <c r="C28" s="207">
        <f>SUM(C16:C27)</f>
        <v>0</v>
      </c>
      <c r="D28" s="207">
        <f>SUM(D16:D27)</f>
        <v>0</v>
      </c>
      <c r="E28" s="158">
        <f>SUM(E16:E27)</f>
        <v>496</v>
      </c>
      <c r="F28" s="158">
        <f>SUM(F16:F27)</f>
        <v>0</v>
      </c>
      <c r="G28" s="158">
        <f t="shared" si="1"/>
        <v>86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410</v>
      </c>
      <c r="L28" s="158">
        <f>SUM(L16:L27)</f>
        <v>0</v>
      </c>
      <c r="M28" s="158">
        <f>SUM(M16:M27)</f>
        <v>410</v>
      </c>
      <c r="N28" s="143">
        <f t="shared" si="4"/>
        <v>0.47699999999999998</v>
      </c>
      <c r="O28" s="17"/>
    </row>
    <row r="29" spans="1:15" ht="15.75" thickTop="1">
      <c r="A29" s="138" t="s">
        <v>22</v>
      </c>
      <c r="B29" s="139"/>
      <c r="C29" s="139"/>
      <c r="D29" s="139"/>
      <c r="E29" s="161">
        <f t="shared" ref="E29:M29" si="5">ROUND(+E28/$K$9,2)</f>
        <v>0.57999999999999996</v>
      </c>
      <c r="F29" s="161">
        <f t="shared" si="5"/>
        <v>0</v>
      </c>
      <c r="G29" s="161">
        <f t="shared" si="5"/>
        <v>0.1</v>
      </c>
      <c r="H29" s="161">
        <f t="shared" si="5"/>
        <v>0</v>
      </c>
      <c r="I29" s="161">
        <f t="shared" si="5"/>
        <v>0</v>
      </c>
      <c r="J29" s="161">
        <f t="shared" si="5"/>
        <v>0</v>
      </c>
      <c r="K29" s="161">
        <f t="shared" si="5"/>
        <v>0.48</v>
      </c>
      <c r="L29" s="161">
        <f t="shared" si="5"/>
        <v>0</v>
      </c>
      <c r="M29" s="161">
        <f t="shared" si="5"/>
        <v>0.48</v>
      </c>
      <c r="N29" s="139"/>
      <c r="O29" s="17"/>
    </row>
    <row r="30" spans="1:15" ht="15.75" thickBot="1">
      <c r="A30" s="140" t="s">
        <v>23</v>
      </c>
      <c r="B30" s="140"/>
      <c r="C30" s="140"/>
      <c r="D30" s="140"/>
      <c r="E30" s="145">
        <f t="shared" ref="E30:M30" si="6">E28/$E$28*100</f>
        <v>100</v>
      </c>
      <c r="F30" s="145">
        <f t="shared" si="6"/>
        <v>0</v>
      </c>
      <c r="G30" s="145">
        <f t="shared" si="6"/>
        <v>17.338709677419356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82.661290322580655</v>
      </c>
      <c r="L30" s="145">
        <f t="shared" si="6"/>
        <v>0</v>
      </c>
      <c r="M30" s="145">
        <f t="shared" si="6"/>
        <v>82.661290322580655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5">
      <c r="A38" s="7"/>
      <c r="C38" s="1" t="s">
        <v>0</v>
      </c>
      <c r="D38" s="1" t="s">
        <v>0</v>
      </c>
      <c r="E38" s="166" t="s">
        <v>0</v>
      </c>
    </row>
  </sheetData>
  <pageMargins left="0.5" right="0.5" top="0.5" bottom="0.5" header="0" footer="0"/>
  <pageSetup scale="8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O40"/>
  <sheetViews>
    <sheetView showOutlineSymbols="0" topLeftCell="A4" zoomScale="87" zoomScaleNormal="87" workbookViewId="0">
      <selection activeCell="C40" sqref="C40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8">
      <c r="A8" s="8" t="s">
        <v>4</v>
      </c>
      <c r="B8" s="135" t="s">
        <v>82</v>
      </c>
      <c r="C8" s="135"/>
      <c r="D8" s="135"/>
      <c r="E8" s="135"/>
      <c r="F8" s="135"/>
      <c r="G8" s="8" t="s">
        <v>56</v>
      </c>
      <c r="H8" s="135"/>
      <c r="I8" s="135" t="s">
        <v>84</v>
      </c>
      <c r="J8" s="135"/>
      <c r="K8" s="135"/>
      <c r="L8" s="135"/>
      <c r="M8" s="135"/>
      <c r="N8" s="135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6">
        <v>5764</v>
      </c>
      <c r="L9" s="137"/>
      <c r="M9" s="10" t="s">
        <v>77</v>
      </c>
      <c r="N9" s="105">
        <v>2020</v>
      </c>
    </row>
    <row r="10" spans="1:15" ht="18.75" thickBot="1">
      <c r="A10" s="10" t="s">
        <v>6</v>
      </c>
      <c r="B10" s="137" t="s">
        <v>83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37"/>
      <c r="N10" s="137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204">
        <v>0</v>
      </c>
      <c r="C16" s="204">
        <v>0</v>
      </c>
      <c r="D16" s="141">
        <v>0</v>
      </c>
      <c r="E16" s="142">
        <f t="shared" ref="E16:E21" si="0">B16+C16-D16</f>
        <v>0</v>
      </c>
      <c r="F16" s="204">
        <v>0</v>
      </c>
      <c r="G16" s="142">
        <f t="shared" ref="G16:G28" si="1">E16-F16-H16-K16</f>
        <v>0</v>
      </c>
      <c r="H16" s="204">
        <v>0</v>
      </c>
      <c r="I16" s="204">
        <v>0</v>
      </c>
      <c r="J16" s="142">
        <f t="shared" ref="J16:J28" si="2">H16-I16-L16</f>
        <v>0</v>
      </c>
      <c r="K16" s="204">
        <v>0</v>
      </c>
      <c r="L16" s="204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204">
        <v>0</v>
      </c>
      <c r="C17" s="204">
        <v>0</v>
      </c>
      <c r="D17" s="141">
        <v>0</v>
      </c>
      <c r="E17" s="142">
        <f t="shared" si="0"/>
        <v>0</v>
      </c>
      <c r="F17" s="204">
        <v>0</v>
      </c>
      <c r="G17" s="142">
        <f t="shared" si="1"/>
        <v>0</v>
      </c>
      <c r="H17" s="204">
        <v>0</v>
      </c>
      <c r="I17" s="204">
        <v>0</v>
      </c>
      <c r="J17" s="142">
        <f t="shared" si="2"/>
        <v>0</v>
      </c>
      <c r="K17" s="204">
        <v>0</v>
      </c>
      <c r="L17" s="204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204">
        <v>0</v>
      </c>
      <c r="C18" s="204">
        <v>0</v>
      </c>
      <c r="D18" s="141">
        <v>0</v>
      </c>
      <c r="E18" s="142">
        <f t="shared" si="0"/>
        <v>0</v>
      </c>
      <c r="F18" s="204">
        <v>0</v>
      </c>
      <c r="G18" s="142">
        <f t="shared" si="1"/>
        <v>0</v>
      </c>
      <c r="H18" s="204">
        <v>0</v>
      </c>
      <c r="I18" s="204">
        <v>0</v>
      </c>
      <c r="J18" s="142">
        <f t="shared" si="2"/>
        <v>0</v>
      </c>
      <c r="K18" s="204">
        <v>0</v>
      </c>
      <c r="L18" s="204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204">
        <v>0</v>
      </c>
      <c r="C19" s="204">
        <v>0</v>
      </c>
      <c r="D19" s="141">
        <v>0</v>
      </c>
      <c r="E19" s="142">
        <f t="shared" si="0"/>
        <v>0</v>
      </c>
      <c r="F19" s="204">
        <v>0</v>
      </c>
      <c r="G19" s="142">
        <f t="shared" si="1"/>
        <v>0</v>
      </c>
      <c r="H19" s="204">
        <v>0</v>
      </c>
      <c r="I19" s="204">
        <v>0</v>
      </c>
      <c r="J19" s="142">
        <f t="shared" si="2"/>
        <v>0</v>
      </c>
      <c r="K19" s="204">
        <v>0</v>
      </c>
      <c r="L19" s="204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204">
        <v>0</v>
      </c>
      <c r="C20" s="204">
        <v>0</v>
      </c>
      <c r="D20" s="141">
        <v>0</v>
      </c>
      <c r="E20" s="142">
        <f t="shared" si="0"/>
        <v>0</v>
      </c>
      <c r="F20" s="204">
        <v>0</v>
      </c>
      <c r="G20" s="142">
        <f t="shared" si="1"/>
        <v>0</v>
      </c>
      <c r="H20" s="204">
        <v>0</v>
      </c>
      <c r="I20" s="204">
        <v>0</v>
      </c>
      <c r="J20" s="142">
        <f t="shared" si="2"/>
        <v>0</v>
      </c>
      <c r="K20" s="204">
        <v>0</v>
      </c>
      <c r="L20" s="204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204">
        <v>0</v>
      </c>
      <c r="C21" s="204">
        <v>0</v>
      </c>
      <c r="D21" s="141">
        <v>0</v>
      </c>
      <c r="E21" s="142">
        <f t="shared" si="0"/>
        <v>0</v>
      </c>
      <c r="F21" s="204">
        <v>0</v>
      </c>
      <c r="G21" s="142">
        <f t="shared" si="1"/>
        <v>0</v>
      </c>
      <c r="H21" s="204">
        <v>0</v>
      </c>
      <c r="I21" s="204">
        <v>0</v>
      </c>
      <c r="J21" s="142">
        <f t="shared" si="2"/>
        <v>0</v>
      </c>
      <c r="K21" s="204">
        <v>0</v>
      </c>
      <c r="L21" s="204">
        <v>0</v>
      </c>
      <c r="M21" s="142">
        <f t="shared" si="3"/>
        <v>0</v>
      </c>
      <c r="N21" s="140">
        <f t="shared" si="4"/>
        <v>0</v>
      </c>
      <c r="O21" s="17"/>
    </row>
    <row r="22" spans="1:15">
      <c r="A22" s="140" t="s">
        <v>15</v>
      </c>
      <c r="B22" s="204">
        <v>1260</v>
      </c>
      <c r="C22" s="204">
        <v>265</v>
      </c>
      <c r="D22" s="141">
        <v>0</v>
      </c>
      <c r="E22" s="142">
        <f t="shared" ref="E22:E27" si="5">B22+C22-D22</f>
        <v>1525</v>
      </c>
      <c r="F22" s="204">
        <v>0</v>
      </c>
      <c r="G22" s="142">
        <f t="shared" si="1"/>
        <v>878</v>
      </c>
      <c r="H22" s="204">
        <v>248</v>
      </c>
      <c r="I22" s="204">
        <v>0</v>
      </c>
      <c r="J22" s="142">
        <f>H22-I22-L22</f>
        <v>114</v>
      </c>
      <c r="K22" s="204">
        <v>399</v>
      </c>
      <c r="L22" s="204">
        <v>134</v>
      </c>
      <c r="M22" s="142">
        <f t="shared" si="3"/>
        <v>533</v>
      </c>
      <c r="N22" s="140">
        <f t="shared" si="4"/>
        <v>9.1999999999999998E-2</v>
      </c>
      <c r="O22" s="17"/>
    </row>
    <row r="23" spans="1:15">
      <c r="A23" s="140" t="s">
        <v>16</v>
      </c>
      <c r="B23" s="204">
        <v>1286</v>
      </c>
      <c r="C23" s="204">
        <v>265</v>
      </c>
      <c r="D23" s="141">
        <v>0</v>
      </c>
      <c r="E23" s="142">
        <f t="shared" si="5"/>
        <v>1551</v>
      </c>
      <c r="F23" s="204">
        <v>0</v>
      </c>
      <c r="G23" s="142">
        <f t="shared" si="1"/>
        <v>876</v>
      </c>
      <c r="H23" s="204">
        <v>243</v>
      </c>
      <c r="I23" s="204">
        <v>0</v>
      </c>
      <c r="J23" s="142">
        <f t="shared" si="2"/>
        <v>99</v>
      </c>
      <c r="K23" s="204">
        <v>432</v>
      </c>
      <c r="L23" s="204">
        <v>144</v>
      </c>
      <c r="M23" s="142">
        <f t="shared" si="3"/>
        <v>576</v>
      </c>
      <c r="N23" s="140">
        <f t="shared" si="4"/>
        <v>0.1</v>
      </c>
      <c r="O23" s="17"/>
    </row>
    <row r="24" spans="1:15">
      <c r="A24" s="140" t="s">
        <v>17</v>
      </c>
      <c r="B24" s="204">
        <v>0</v>
      </c>
      <c r="C24" s="204">
        <v>0</v>
      </c>
      <c r="D24" s="141">
        <v>0</v>
      </c>
      <c r="E24" s="142">
        <f t="shared" si="5"/>
        <v>0</v>
      </c>
      <c r="F24" s="204">
        <v>0</v>
      </c>
      <c r="G24" s="142">
        <f t="shared" si="1"/>
        <v>0</v>
      </c>
      <c r="H24" s="204">
        <v>0</v>
      </c>
      <c r="I24" s="204">
        <v>0</v>
      </c>
      <c r="J24" s="142">
        <f t="shared" si="2"/>
        <v>0</v>
      </c>
      <c r="K24" s="204">
        <v>0</v>
      </c>
      <c r="L24" s="204">
        <v>0</v>
      </c>
      <c r="M24" s="142">
        <f t="shared" si="3"/>
        <v>0</v>
      </c>
      <c r="N24" s="140">
        <f t="shared" si="4"/>
        <v>0</v>
      </c>
      <c r="O24" s="17"/>
    </row>
    <row r="25" spans="1:15">
      <c r="A25" s="140" t="s">
        <v>18</v>
      </c>
      <c r="B25" s="204">
        <v>0</v>
      </c>
      <c r="C25" s="204">
        <v>0</v>
      </c>
      <c r="D25" s="141">
        <v>0</v>
      </c>
      <c r="E25" s="142">
        <f t="shared" si="5"/>
        <v>0</v>
      </c>
      <c r="F25" s="204">
        <v>0</v>
      </c>
      <c r="G25" s="142">
        <f t="shared" si="1"/>
        <v>0</v>
      </c>
      <c r="H25" s="204">
        <v>0</v>
      </c>
      <c r="I25" s="204">
        <v>0</v>
      </c>
      <c r="J25" s="142">
        <f t="shared" si="2"/>
        <v>0</v>
      </c>
      <c r="K25" s="204">
        <v>0</v>
      </c>
      <c r="L25" s="204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204">
        <v>0</v>
      </c>
      <c r="C26" s="204">
        <v>0</v>
      </c>
      <c r="D26" s="141">
        <v>0</v>
      </c>
      <c r="E26" s="142">
        <f t="shared" si="5"/>
        <v>0</v>
      </c>
      <c r="F26" s="204">
        <v>0</v>
      </c>
      <c r="G26" s="142">
        <f t="shared" si="1"/>
        <v>0</v>
      </c>
      <c r="H26" s="204">
        <v>0</v>
      </c>
      <c r="I26" s="204">
        <v>0</v>
      </c>
      <c r="J26" s="142">
        <f t="shared" si="2"/>
        <v>0</v>
      </c>
      <c r="K26" s="204">
        <v>0</v>
      </c>
      <c r="L26" s="204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204">
        <v>0</v>
      </c>
      <c r="C27" s="204">
        <v>0</v>
      </c>
      <c r="D27" s="141">
        <v>0</v>
      </c>
      <c r="E27" s="142">
        <f t="shared" si="5"/>
        <v>0</v>
      </c>
      <c r="F27" s="204">
        <v>0</v>
      </c>
      <c r="G27" s="142">
        <f t="shared" si="1"/>
        <v>0</v>
      </c>
      <c r="H27" s="204">
        <v>0</v>
      </c>
      <c r="I27" s="204">
        <v>0</v>
      </c>
      <c r="J27" s="142">
        <f t="shared" si="2"/>
        <v>0</v>
      </c>
      <c r="K27" s="204">
        <v>0</v>
      </c>
      <c r="L27" s="204"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40" t="s">
        <v>21</v>
      </c>
      <c r="B28" s="209">
        <f>SUM(B16:B27)</f>
        <v>2546</v>
      </c>
      <c r="C28" s="209">
        <f>SUM(C16:C27)</f>
        <v>530</v>
      </c>
      <c r="D28" s="142">
        <f>SUM(D16:D27)</f>
        <v>0</v>
      </c>
      <c r="E28" s="142">
        <f>SUM(E16:E27)</f>
        <v>3076</v>
      </c>
      <c r="F28" s="218">
        <f>SUM(F16:F27)</f>
        <v>0</v>
      </c>
      <c r="G28" s="142">
        <f t="shared" si="1"/>
        <v>1754</v>
      </c>
      <c r="H28" s="209">
        <f>SUM(H16:H27)</f>
        <v>491</v>
      </c>
      <c r="I28" s="209">
        <f>SUM(I16:I27)</f>
        <v>0</v>
      </c>
      <c r="J28" s="142">
        <f t="shared" si="2"/>
        <v>213</v>
      </c>
      <c r="K28" s="209">
        <f>SUM(K16:K27)</f>
        <v>831</v>
      </c>
      <c r="L28" s="209">
        <f>SUM(L16:L27)</f>
        <v>278</v>
      </c>
      <c r="M28" s="142">
        <f>SUM(M16:M27)</f>
        <v>1109</v>
      </c>
      <c r="N28" s="143">
        <f t="shared" si="4"/>
        <v>0.192</v>
      </c>
      <c r="O28" s="17"/>
    </row>
    <row r="29" spans="1:15" ht="15.75" thickTop="1">
      <c r="A29" s="138" t="s">
        <v>22</v>
      </c>
      <c r="B29" s="138"/>
      <c r="C29" s="138"/>
      <c r="D29" s="138"/>
      <c r="E29" s="144">
        <f t="shared" ref="E29:M29" si="6">ROUND(+E28/$K$9,2)</f>
        <v>0.53</v>
      </c>
      <c r="F29" s="144">
        <f t="shared" si="6"/>
        <v>0</v>
      </c>
      <c r="G29" s="144">
        <f t="shared" si="6"/>
        <v>0.3</v>
      </c>
      <c r="H29" s="144">
        <f t="shared" si="6"/>
        <v>0.09</v>
      </c>
      <c r="I29" s="144">
        <f t="shared" si="6"/>
        <v>0</v>
      </c>
      <c r="J29" s="144">
        <f t="shared" si="6"/>
        <v>0.04</v>
      </c>
      <c r="K29" s="144">
        <f t="shared" si="6"/>
        <v>0.14000000000000001</v>
      </c>
      <c r="L29" s="144">
        <f t="shared" si="6"/>
        <v>0.05</v>
      </c>
      <c r="M29" s="144">
        <f t="shared" si="6"/>
        <v>0.19</v>
      </c>
      <c r="N29" s="139"/>
      <c r="O29" s="17"/>
    </row>
    <row r="30" spans="1:15" ht="15.75" thickBot="1">
      <c r="A30" s="143" t="s">
        <v>23</v>
      </c>
      <c r="B30" s="143"/>
      <c r="C30" s="140"/>
      <c r="D30" s="140"/>
      <c r="E30" s="145">
        <f t="shared" ref="E30:L30" si="7">E28/$E$28*100</f>
        <v>100</v>
      </c>
      <c r="F30" s="145">
        <f t="shared" si="7"/>
        <v>0</v>
      </c>
      <c r="G30" s="145">
        <f t="shared" si="7"/>
        <v>57.022106631989601</v>
      </c>
      <c r="H30" s="145">
        <f t="shared" si="7"/>
        <v>15.962288686605982</v>
      </c>
      <c r="I30" s="145">
        <f t="shared" si="7"/>
        <v>0</v>
      </c>
      <c r="J30" s="145">
        <f t="shared" si="7"/>
        <v>6.9245773732119638</v>
      </c>
      <c r="K30" s="145">
        <f t="shared" si="7"/>
        <v>27.015604681404419</v>
      </c>
      <c r="L30" s="145">
        <f t="shared" si="7"/>
        <v>9.0377113133940181</v>
      </c>
      <c r="M30" s="145">
        <f>M28/$E$28*100</f>
        <v>36.053315994798439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0" t="s">
        <v>0</v>
      </c>
      <c r="B36" s="135"/>
      <c r="C36" s="135"/>
      <c r="D36" s="135"/>
      <c r="E36" s="135"/>
      <c r="F36" s="135"/>
      <c r="G36" s="135"/>
      <c r="H36" s="135"/>
      <c r="I36" s="43"/>
      <c r="J36" s="135"/>
      <c r="K36" s="135"/>
      <c r="L36" s="135"/>
      <c r="M36" s="135"/>
      <c r="N36" s="135"/>
      <c r="O36" s="7"/>
    </row>
    <row r="37" spans="1:15">
      <c r="A37" s="50" t="s">
        <v>0</v>
      </c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7"/>
    </row>
    <row r="38" spans="1:15">
      <c r="A38" s="135"/>
      <c r="C38" s="135"/>
      <c r="D38" s="135"/>
      <c r="E38" s="147"/>
      <c r="F38" s="135"/>
      <c r="G38" s="135"/>
      <c r="H38" s="135"/>
      <c r="I38" s="135"/>
      <c r="J38" s="135"/>
      <c r="K38" s="135"/>
      <c r="L38" s="135"/>
      <c r="M38" s="135"/>
      <c r="N38" s="135"/>
      <c r="O38" s="7"/>
    </row>
    <row r="39" spans="1:15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</row>
    <row r="40" spans="1:15" ht="26.25">
      <c r="B40" s="206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1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39"/>
  <sheetViews>
    <sheetView showOutlineSymbols="0" zoomScale="87" zoomScaleNormal="87" workbookViewId="0">
      <selection activeCell="S24" sqref="S24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5" width="8.77734375" style="1" customWidth="1"/>
    <col min="6" max="6" width="7.6640625" style="1" customWidth="1"/>
    <col min="7" max="7" width="9.5546875" style="1" customWidth="1"/>
    <col min="8" max="10" width="7.6640625" style="1" customWidth="1"/>
    <col min="11" max="11" width="8.109375" style="1" customWidth="1"/>
    <col min="12" max="14" width="7.6640625" style="1" customWidth="1"/>
    <col min="15" max="15" width="4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8">
      <c r="A8" s="8" t="s">
        <v>4</v>
      </c>
      <c r="B8" s="135" t="s">
        <v>136</v>
      </c>
      <c r="C8" s="135"/>
      <c r="D8" s="135"/>
      <c r="E8" s="135"/>
      <c r="F8" s="135"/>
      <c r="G8" s="8" t="s">
        <v>56</v>
      </c>
      <c r="H8" s="135"/>
      <c r="I8" s="135" t="s">
        <v>138</v>
      </c>
      <c r="J8" s="135"/>
      <c r="K8" s="135"/>
      <c r="L8" s="135"/>
      <c r="M8" s="135"/>
      <c r="N8" s="135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8">
        <v>8516</v>
      </c>
      <c r="L9" s="137" t="s">
        <v>0</v>
      </c>
      <c r="M9" s="10" t="s">
        <v>77</v>
      </c>
      <c r="N9" s="120">
        <v>2020</v>
      </c>
    </row>
    <row r="10" spans="1:15" ht="18.75" thickBot="1">
      <c r="A10" s="10" t="s">
        <v>6</v>
      </c>
      <c r="B10" s="137" t="s">
        <v>137</v>
      </c>
      <c r="C10" s="137"/>
      <c r="D10" s="137"/>
      <c r="E10" s="137"/>
      <c r="F10" s="137"/>
      <c r="G10" s="10" t="s">
        <v>58</v>
      </c>
      <c r="H10" s="137"/>
      <c r="I10" s="190" t="s">
        <v>0</v>
      </c>
      <c r="J10" s="137"/>
      <c r="K10" s="137"/>
      <c r="L10" s="137"/>
      <c r="M10" s="137"/>
      <c r="N10" s="137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110">
        <v>0</v>
      </c>
      <c r="C16" s="110">
        <v>0</v>
      </c>
      <c r="D16" s="110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110">
        <v>0</v>
      </c>
      <c r="C17" s="110">
        <v>0</v>
      </c>
      <c r="D17" s="110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110">
        <v>0</v>
      </c>
      <c r="C18" s="110">
        <v>0</v>
      </c>
      <c r="D18" s="110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110">
        <v>0</v>
      </c>
      <c r="C19" s="110">
        <v>0</v>
      </c>
      <c r="D19" s="110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110">
        <v>0</v>
      </c>
      <c r="C20" s="110">
        <v>0</v>
      </c>
      <c r="D20" s="110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110">
        <v>2726</v>
      </c>
      <c r="C21" s="110">
        <v>0</v>
      </c>
      <c r="D21" s="110">
        <v>0</v>
      </c>
      <c r="E21" s="142">
        <f t="shared" si="0"/>
        <v>2726</v>
      </c>
      <c r="F21" s="110">
        <v>121</v>
      </c>
      <c r="G21" s="142">
        <f t="shared" si="1"/>
        <v>2020</v>
      </c>
      <c r="H21" s="110">
        <v>470</v>
      </c>
      <c r="I21" s="110">
        <v>53</v>
      </c>
      <c r="J21" s="142">
        <f t="shared" si="2"/>
        <v>230</v>
      </c>
      <c r="K21" s="110">
        <v>115</v>
      </c>
      <c r="L21" s="110">
        <v>187</v>
      </c>
      <c r="M21" s="142">
        <f t="shared" si="3"/>
        <v>302</v>
      </c>
      <c r="N21" s="140">
        <f t="shared" si="4"/>
        <v>3.5000000000000003E-2</v>
      </c>
      <c r="O21" s="17"/>
    </row>
    <row r="22" spans="1:15">
      <c r="A22" s="140" t="s">
        <v>15</v>
      </c>
      <c r="B22" s="110">
        <v>7400</v>
      </c>
      <c r="C22" s="110">
        <v>0</v>
      </c>
      <c r="D22" s="110">
        <v>0</v>
      </c>
      <c r="E22" s="142">
        <f t="shared" si="0"/>
        <v>7400</v>
      </c>
      <c r="F22" s="110">
        <v>445</v>
      </c>
      <c r="G22" s="142">
        <f t="shared" si="1"/>
        <v>3982</v>
      </c>
      <c r="H22" s="110">
        <v>2194</v>
      </c>
      <c r="I22" s="110">
        <v>240</v>
      </c>
      <c r="J22" s="142">
        <f t="shared" si="2"/>
        <v>443</v>
      </c>
      <c r="K22" s="110">
        <v>779</v>
      </c>
      <c r="L22" s="110">
        <v>1511</v>
      </c>
      <c r="M22" s="142">
        <f t="shared" si="3"/>
        <v>2290</v>
      </c>
      <c r="N22" s="140">
        <f t="shared" si="4"/>
        <v>0.26900000000000002</v>
      </c>
      <c r="O22" s="17"/>
    </row>
    <row r="23" spans="1:15">
      <c r="A23" s="140" t="s">
        <v>16</v>
      </c>
      <c r="B23" s="110">
        <v>7860</v>
      </c>
      <c r="C23" s="110">
        <v>0</v>
      </c>
      <c r="D23" s="110">
        <v>0</v>
      </c>
      <c r="E23" s="142">
        <f t="shared" si="0"/>
        <v>7860</v>
      </c>
      <c r="F23" s="110">
        <v>398</v>
      </c>
      <c r="G23" s="142">
        <f t="shared" si="1"/>
        <v>2759</v>
      </c>
      <c r="H23" s="110">
        <v>3485</v>
      </c>
      <c r="I23" s="110">
        <v>172</v>
      </c>
      <c r="J23" s="142">
        <f t="shared" si="2"/>
        <v>348</v>
      </c>
      <c r="K23" s="110">
        <v>1218</v>
      </c>
      <c r="L23" s="110">
        <v>2965</v>
      </c>
      <c r="M23" s="142">
        <f t="shared" si="3"/>
        <v>4183</v>
      </c>
      <c r="N23" s="140">
        <f t="shared" si="4"/>
        <v>0.49099999999999999</v>
      </c>
      <c r="O23" s="17"/>
    </row>
    <row r="24" spans="1:15">
      <c r="A24" s="140" t="s">
        <v>17</v>
      </c>
      <c r="B24" s="110">
        <v>0</v>
      </c>
      <c r="C24" s="110">
        <v>0</v>
      </c>
      <c r="D24" s="110">
        <v>0</v>
      </c>
      <c r="E24" s="142">
        <f t="shared" si="0"/>
        <v>0</v>
      </c>
      <c r="F24" s="110">
        <v>0</v>
      </c>
      <c r="G24" s="142">
        <f t="shared" si="1"/>
        <v>0</v>
      </c>
      <c r="H24" s="110">
        <v>0</v>
      </c>
      <c r="I24" s="110">
        <v>0</v>
      </c>
      <c r="J24" s="142">
        <f t="shared" si="2"/>
        <v>0</v>
      </c>
      <c r="K24" s="110">
        <v>0</v>
      </c>
      <c r="L24" s="110">
        <v>0</v>
      </c>
      <c r="M24" s="142">
        <f t="shared" si="3"/>
        <v>0</v>
      </c>
      <c r="N24" s="140">
        <f t="shared" si="4"/>
        <v>0</v>
      </c>
      <c r="O24" s="17"/>
    </row>
    <row r="25" spans="1:15">
      <c r="A25" s="140" t="s">
        <v>18</v>
      </c>
      <c r="B25" s="110">
        <v>0</v>
      </c>
      <c r="C25" s="110">
        <v>0</v>
      </c>
      <c r="D25" s="110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110">
        <v>0</v>
      </c>
      <c r="C26" s="110">
        <v>0</v>
      </c>
      <c r="D26" s="110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110">
        <v>0</v>
      </c>
      <c r="C27" s="110">
        <v>0</v>
      </c>
      <c r="D27" s="110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40" t="s">
        <v>21</v>
      </c>
      <c r="B28" s="142">
        <f>SUM(B16:B27)</f>
        <v>17986</v>
      </c>
      <c r="C28" s="142">
        <f>SUM(C16:C27)</f>
        <v>0</v>
      </c>
      <c r="D28" s="142">
        <f>SUM(D16:D27)</f>
        <v>0</v>
      </c>
      <c r="E28" s="142">
        <f>SUM(E16:E27)</f>
        <v>17986</v>
      </c>
      <c r="F28" s="142">
        <f>SUM(F16:F27)</f>
        <v>964</v>
      </c>
      <c r="G28" s="142">
        <f t="shared" si="1"/>
        <v>8761</v>
      </c>
      <c r="H28" s="142">
        <f>SUM(H16:H27)</f>
        <v>6149</v>
      </c>
      <c r="I28" s="142">
        <f>SUM(I16:I27)</f>
        <v>465</v>
      </c>
      <c r="J28" s="142">
        <f t="shared" si="2"/>
        <v>1021</v>
      </c>
      <c r="K28" s="142">
        <f>SUM(K16:K27)</f>
        <v>2112</v>
      </c>
      <c r="L28" s="142">
        <f>SUM(L16:L27)</f>
        <v>4663</v>
      </c>
      <c r="M28" s="142">
        <f>SUM(M16:M27)</f>
        <v>6775</v>
      </c>
      <c r="N28" s="143">
        <f t="shared" si="4"/>
        <v>0.79600000000000004</v>
      </c>
      <c r="O28" s="17"/>
    </row>
    <row r="29" spans="1:15" ht="15.75" thickTop="1">
      <c r="A29" s="138" t="s">
        <v>22</v>
      </c>
      <c r="B29" s="144" t="s">
        <v>0</v>
      </c>
      <c r="C29" s="144" t="s">
        <v>0</v>
      </c>
      <c r="D29" s="144" t="s">
        <v>0</v>
      </c>
      <c r="E29" s="144">
        <f t="shared" ref="E29:M29" si="5">ROUND(+E28/$K$9,2)</f>
        <v>2.11</v>
      </c>
      <c r="F29" s="144">
        <f t="shared" si="5"/>
        <v>0.11</v>
      </c>
      <c r="G29" s="144">
        <f t="shared" si="5"/>
        <v>1.03</v>
      </c>
      <c r="H29" s="144">
        <f t="shared" si="5"/>
        <v>0.72</v>
      </c>
      <c r="I29" s="144">
        <f t="shared" si="5"/>
        <v>0.05</v>
      </c>
      <c r="J29" s="144">
        <f t="shared" si="5"/>
        <v>0.12</v>
      </c>
      <c r="K29" s="144">
        <f t="shared" si="5"/>
        <v>0.25</v>
      </c>
      <c r="L29" s="144">
        <f t="shared" si="5"/>
        <v>0.55000000000000004</v>
      </c>
      <c r="M29" s="144">
        <f t="shared" si="5"/>
        <v>0.8</v>
      </c>
      <c r="N29" s="139"/>
      <c r="O29" s="17"/>
    </row>
    <row r="30" spans="1:15" ht="15.75" thickBot="1">
      <c r="A30" s="140" t="s">
        <v>23</v>
      </c>
      <c r="B30" s="145" t="s">
        <v>0</v>
      </c>
      <c r="C30" s="145" t="s">
        <v>0</v>
      </c>
      <c r="D30" s="145" t="s">
        <v>0</v>
      </c>
      <c r="E30" s="145">
        <f t="shared" ref="E30:M30" si="6">E28/$E$28*100</f>
        <v>100</v>
      </c>
      <c r="F30" s="145">
        <f t="shared" si="6"/>
        <v>5.3597242299566323</v>
      </c>
      <c r="G30" s="145">
        <f t="shared" si="6"/>
        <v>48.710107861670188</v>
      </c>
      <c r="H30" s="145">
        <f t="shared" si="6"/>
        <v>34.187701545646618</v>
      </c>
      <c r="I30" s="145">
        <f t="shared" si="6"/>
        <v>2.5853441565662183</v>
      </c>
      <c r="J30" s="145">
        <f t="shared" si="6"/>
        <v>5.6766373846324925</v>
      </c>
      <c r="K30" s="145">
        <f t="shared" si="6"/>
        <v>11.742466362726566</v>
      </c>
      <c r="L30" s="145">
        <f t="shared" si="6"/>
        <v>25.925720004447903</v>
      </c>
      <c r="M30" s="145">
        <f t="shared" si="6"/>
        <v>37.668186367174464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5">
      <c r="A38" s="135"/>
      <c r="B38" s="136"/>
      <c r="C38" s="136" t="s">
        <v>0</v>
      </c>
      <c r="D38" s="136" t="s">
        <v>0</v>
      </c>
      <c r="E38" s="150" t="s">
        <v>0</v>
      </c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5">
      <c r="A39" s="7"/>
    </row>
  </sheetData>
  <phoneticPr fontId="0" type="noConversion"/>
  <pageMargins left="0.5" right="0.5" top="0.5" bottom="0.5" header="0" footer="0"/>
  <pageSetup scale="8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O40"/>
  <sheetViews>
    <sheetView showOutlineSymbols="0" zoomScale="87" zoomScaleNormal="87" workbookViewId="0">
      <selection activeCell="M21" sqref="M21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175</v>
      </c>
      <c r="C8" s="74"/>
      <c r="D8" s="74"/>
      <c r="E8" s="74"/>
      <c r="F8" s="74"/>
      <c r="G8" s="82" t="s">
        <v>56</v>
      </c>
      <c r="H8" s="74"/>
      <c r="I8" s="74" t="s">
        <v>177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5677</v>
      </c>
      <c r="L9" s="84"/>
      <c r="M9" s="83" t="s">
        <v>77</v>
      </c>
      <c r="N9" s="122">
        <v>2020</v>
      </c>
    </row>
    <row r="10" spans="1:15" ht="18.75" thickBot="1">
      <c r="A10" s="83" t="s">
        <v>6</v>
      </c>
      <c r="B10" s="84" t="s">
        <v>176</v>
      </c>
      <c r="C10" s="84"/>
      <c r="D10" s="84"/>
      <c r="E10" s="84"/>
      <c r="F10" s="84"/>
      <c r="G10" s="83" t="s">
        <v>58</v>
      </c>
      <c r="H10" s="84"/>
      <c r="I10" s="191" t="s">
        <v>0</v>
      </c>
      <c r="J10" s="84"/>
      <c r="K10" s="84"/>
      <c r="L10" s="84"/>
      <c r="M10" s="84"/>
      <c r="N10" s="84"/>
    </row>
    <row r="11" spans="1:15" ht="16.5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75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204">
        <v>0</v>
      </c>
      <c r="D16" s="204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204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56">
        <f t="shared" ref="M16:M27" si="3">SUM(K16:L16)</f>
        <v>0</v>
      </c>
      <c r="N16" s="157">
        <f t="shared" ref="N16:N28" si="4">ROUND(+M16/$K$9,3)</f>
        <v>0</v>
      </c>
      <c r="O16" s="17"/>
    </row>
    <row r="17" spans="1:15">
      <c r="A17" s="140" t="s">
        <v>10</v>
      </c>
      <c r="B17" s="110">
        <v>0</v>
      </c>
      <c r="C17" s="204">
        <v>0</v>
      </c>
      <c r="D17" s="204">
        <v>0</v>
      </c>
      <c r="E17" s="142">
        <f t="shared" si="0"/>
        <v>0</v>
      </c>
      <c r="F17" s="110">
        <v>0</v>
      </c>
      <c r="G17" s="142">
        <f t="shared" si="1"/>
        <v>0</v>
      </c>
      <c r="H17" s="204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56">
        <f t="shared" si="3"/>
        <v>0</v>
      </c>
      <c r="N17" s="157">
        <f t="shared" si="4"/>
        <v>0</v>
      </c>
      <c r="O17" s="17"/>
    </row>
    <row r="18" spans="1:15">
      <c r="A18" s="140" t="s">
        <v>11</v>
      </c>
      <c r="B18" s="110">
        <v>0</v>
      </c>
      <c r="C18" s="204">
        <v>0</v>
      </c>
      <c r="D18" s="204">
        <v>0</v>
      </c>
      <c r="E18" s="142">
        <f t="shared" si="0"/>
        <v>0</v>
      </c>
      <c r="F18" s="110">
        <v>0</v>
      </c>
      <c r="G18" s="142">
        <f t="shared" si="1"/>
        <v>0</v>
      </c>
      <c r="H18" s="204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56">
        <f t="shared" si="3"/>
        <v>0</v>
      </c>
      <c r="N18" s="157">
        <f t="shared" si="4"/>
        <v>0</v>
      </c>
      <c r="O18" s="17"/>
    </row>
    <row r="19" spans="1:15">
      <c r="A19" s="140" t="s">
        <v>12</v>
      </c>
      <c r="B19" s="110">
        <v>0</v>
      </c>
      <c r="C19" s="204">
        <v>0</v>
      </c>
      <c r="D19" s="204">
        <v>0</v>
      </c>
      <c r="E19" s="142">
        <f t="shared" si="0"/>
        <v>0</v>
      </c>
      <c r="F19" s="110">
        <v>0</v>
      </c>
      <c r="G19" s="142">
        <f t="shared" si="1"/>
        <v>0</v>
      </c>
      <c r="H19" s="204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56">
        <f t="shared" si="3"/>
        <v>0</v>
      </c>
      <c r="N19" s="157">
        <f t="shared" si="4"/>
        <v>0</v>
      </c>
      <c r="O19" s="17"/>
    </row>
    <row r="20" spans="1:15">
      <c r="A20" s="140" t="s">
        <v>13</v>
      </c>
      <c r="B20" s="110">
        <v>0</v>
      </c>
      <c r="C20" s="204">
        <v>0</v>
      </c>
      <c r="D20" s="204">
        <v>0</v>
      </c>
      <c r="E20" s="142">
        <f t="shared" si="0"/>
        <v>0</v>
      </c>
      <c r="F20" s="110">
        <v>0</v>
      </c>
      <c r="G20" s="142">
        <f t="shared" si="1"/>
        <v>0</v>
      </c>
      <c r="H20" s="204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56">
        <f t="shared" si="3"/>
        <v>0</v>
      </c>
      <c r="N20" s="157">
        <f t="shared" si="4"/>
        <v>0</v>
      </c>
      <c r="O20" s="17"/>
    </row>
    <row r="21" spans="1:15">
      <c r="A21" s="140" t="s">
        <v>14</v>
      </c>
      <c r="B21" s="110">
        <v>2379</v>
      </c>
      <c r="C21" s="204">
        <v>0</v>
      </c>
      <c r="D21" s="204">
        <v>0</v>
      </c>
      <c r="E21" s="142">
        <f t="shared" si="0"/>
        <v>2379</v>
      </c>
      <c r="F21" s="110">
        <v>111</v>
      </c>
      <c r="G21" s="142">
        <f t="shared" si="1"/>
        <v>2070</v>
      </c>
      <c r="H21" s="204">
        <v>180</v>
      </c>
      <c r="I21" s="110">
        <v>0</v>
      </c>
      <c r="J21" s="142">
        <f t="shared" si="2"/>
        <v>13</v>
      </c>
      <c r="K21" s="110">
        <v>18</v>
      </c>
      <c r="L21" s="110">
        <v>167</v>
      </c>
      <c r="M21" s="156">
        <f t="shared" si="3"/>
        <v>185</v>
      </c>
      <c r="N21" s="157">
        <f t="shared" si="4"/>
        <v>3.3000000000000002E-2</v>
      </c>
      <c r="O21" s="17"/>
    </row>
    <row r="22" spans="1:15">
      <c r="A22" s="140" t="s">
        <v>15</v>
      </c>
      <c r="B22" s="110">
        <v>3659</v>
      </c>
      <c r="C22" s="204">
        <v>0</v>
      </c>
      <c r="D22" s="204">
        <v>0</v>
      </c>
      <c r="E22" s="142">
        <f t="shared" si="0"/>
        <v>3659</v>
      </c>
      <c r="F22" s="110">
        <v>434</v>
      </c>
      <c r="G22" s="142">
        <f t="shared" si="1"/>
        <v>1488</v>
      </c>
      <c r="H22" s="204">
        <v>1421</v>
      </c>
      <c r="I22" s="110">
        <v>0</v>
      </c>
      <c r="J22" s="142">
        <f t="shared" si="2"/>
        <v>115</v>
      </c>
      <c r="K22" s="110">
        <v>316</v>
      </c>
      <c r="L22" s="110">
        <v>1306</v>
      </c>
      <c r="M22" s="156">
        <f t="shared" si="3"/>
        <v>1622</v>
      </c>
      <c r="N22" s="157">
        <f t="shared" si="4"/>
        <v>0.28599999999999998</v>
      </c>
      <c r="O22" s="17"/>
    </row>
    <row r="23" spans="1:15">
      <c r="A23" s="140" t="s">
        <v>16</v>
      </c>
      <c r="B23" s="110">
        <v>4620</v>
      </c>
      <c r="C23" s="204">
        <v>0</v>
      </c>
      <c r="D23" s="204">
        <v>0</v>
      </c>
      <c r="E23" s="142">
        <f t="shared" si="0"/>
        <v>4620</v>
      </c>
      <c r="F23" s="110">
        <v>293</v>
      </c>
      <c r="G23" s="142">
        <f t="shared" si="1"/>
        <v>1233</v>
      </c>
      <c r="H23" s="204">
        <v>2569</v>
      </c>
      <c r="I23" s="110">
        <v>0</v>
      </c>
      <c r="J23" s="142">
        <f t="shared" si="2"/>
        <v>183</v>
      </c>
      <c r="K23" s="110">
        <v>525</v>
      </c>
      <c r="L23" s="110">
        <v>2386</v>
      </c>
      <c r="M23" s="156">
        <f t="shared" si="3"/>
        <v>2911</v>
      </c>
      <c r="N23" s="157">
        <f t="shared" si="4"/>
        <v>0.51300000000000001</v>
      </c>
      <c r="O23" s="17"/>
    </row>
    <row r="24" spans="1:15">
      <c r="A24" s="140" t="s">
        <v>17</v>
      </c>
      <c r="B24" s="110">
        <v>0</v>
      </c>
      <c r="C24" s="204">
        <v>0</v>
      </c>
      <c r="D24" s="204">
        <v>0</v>
      </c>
      <c r="E24" s="142">
        <f t="shared" si="0"/>
        <v>0</v>
      </c>
      <c r="F24" s="110">
        <v>0</v>
      </c>
      <c r="G24" s="142">
        <f t="shared" si="1"/>
        <v>0</v>
      </c>
      <c r="H24" s="204">
        <v>0</v>
      </c>
      <c r="I24" s="110">
        <v>0</v>
      </c>
      <c r="J24" s="142">
        <f t="shared" si="2"/>
        <v>0</v>
      </c>
      <c r="K24" s="110">
        <v>0</v>
      </c>
      <c r="L24" s="110">
        <v>0</v>
      </c>
      <c r="M24" s="156">
        <f t="shared" si="3"/>
        <v>0</v>
      </c>
      <c r="N24" s="157">
        <f t="shared" si="4"/>
        <v>0</v>
      </c>
      <c r="O24" s="17"/>
    </row>
    <row r="25" spans="1:15">
      <c r="A25" s="140" t="s">
        <v>18</v>
      </c>
      <c r="B25" s="110">
        <v>0</v>
      </c>
      <c r="C25" s="204">
        <v>0</v>
      </c>
      <c r="D25" s="204">
        <v>0</v>
      </c>
      <c r="E25" s="142">
        <f t="shared" si="0"/>
        <v>0</v>
      </c>
      <c r="F25" s="110">
        <v>0</v>
      </c>
      <c r="G25" s="142">
        <f t="shared" si="1"/>
        <v>0</v>
      </c>
      <c r="H25" s="204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56">
        <f t="shared" si="3"/>
        <v>0</v>
      </c>
      <c r="N25" s="157">
        <f t="shared" si="4"/>
        <v>0</v>
      </c>
      <c r="O25" s="17"/>
    </row>
    <row r="26" spans="1:15">
      <c r="A26" s="140" t="s">
        <v>19</v>
      </c>
      <c r="B26" s="110">
        <v>0</v>
      </c>
      <c r="C26" s="204">
        <v>0</v>
      </c>
      <c r="D26" s="204">
        <v>0</v>
      </c>
      <c r="E26" s="142">
        <f t="shared" si="0"/>
        <v>0</v>
      </c>
      <c r="F26" s="110">
        <v>0</v>
      </c>
      <c r="G26" s="142">
        <f t="shared" si="1"/>
        <v>0</v>
      </c>
      <c r="H26" s="204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56">
        <f t="shared" si="3"/>
        <v>0</v>
      </c>
      <c r="N26" s="157">
        <f t="shared" si="4"/>
        <v>0</v>
      </c>
      <c r="O26" s="17"/>
    </row>
    <row r="27" spans="1:15">
      <c r="A27" s="140" t="s">
        <v>20</v>
      </c>
      <c r="B27" s="110">
        <v>0</v>
      </c>
      <c r="C27" s="204">
        <v>0</v>
      </c>
      <c r="D27" s="204">
        <v>0</v>
      </c>
      <c r="E27" s="142">
        <f t="shared" si="0"/>
        <v>0</v>
      </c>
      <c r="F27" s="110">
        <v>0</v>
      </c>
      <c r="G27" s="142">
        <f t="shared" si="1"/>
        <v>0</v>
      </c>
      <c r="H27" s="204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56">
        <f t="shared" si="3"/>
        <v>0</v>
      </c>
      <c r="N27" s="157">
        <f t="shared" si="4"/>
        <v>0</v>
      </c>
      <c r="O27" s="17"/>
    </row>
    <row r="28" spans="1:15" ht="15.75" thickBot="1">
      <c r="A28" s="140" t="s">
        <v>21</v>
      </c>
      <c r="B28" s="158">
        <f>SUM(B16:B27)</f>
        <v>10658</v>
      </c>
      <c r="C28" s="207">
        <f>SUM(C16:C27)</f>
        <v>0</v>
      </c>
      <c r="D28" s="207">
        <f>SUM(D16:D27)</f>
        <v>0</v>
      </c>
      <c r="E28" s="158">
        <f>SUM(E16:E27)</f>
        <v>10658</v>
      </c>
      <c r="F28" s="158">
        <f>SUM(F16:F27)</f>
        <v>838</v>
      </c>
      <c r="G28" s="158">
        <f t="shared" si="1"/>
        <v>4791</v>
      </c>
      <c r="H28" s="207">
        <f>SUM(H16:H27)</f>
        <v>4170</v>
      </c>
      <c r="I28" s="158">
        <f>SUM(I16:I27)</f>
        <v>0</v>
      </c>
      <c r="J28" s="158">
        <f t="shared" si="2"/>
        <v>311</v>
      </c>
      <c r="K28" s="158">
        <f>SUM(K16:K27)</f>
        <v>859</v>
      </c>
      <c r="L28" s="158">
        <f>SUM(L16:L27)</f>
        <v>3859</v>
      </c>
      <c r="M28" s="159">
        <f>SUM(M16:M27)</f>
        <v>4718</v>
      </c>
      <c r="N28" s="160">
        <f t="shared" si="4"/>
        <v>0.83099999999999996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5">ROUND(+E28/$K$9,2)</f>
        <v>1.88</v>
      </c>
      <c r="F29" s="161">
        <f t="shared" si="5"/>
        <v>0.15</v>
      </c>
      <c r="G29" s="161">
        <f t="shared" si="5"/>
        <v>0.84</v>
      </c>
      <c r="H29" s="161">
        <f t="shared" si="5"/>
        <v>0.73</v>
      </c>
      <c r="I29" s="161">
        <f t="shared" si="5"/>
        <v>0</v>
      </c>
      <c r="J29" s="161">
        <f t="shared" si="5"/>
        <v>0.05</v>
      </c>
      <c r="K29" s="161">
        <f t="shared" si="5"/>
        <v>0.15</v>
      </c>
      <c r="L29" s="161">
        <f t="shared" si="5"/>
        <v>0.68</v>
      </c>
      <c r="M29" s="162">
        <f t="shared" si="5"/>
        <v>0.83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6">E28/$E$28*100</f>
        <v>100</v>
      </c>
      <c r="F30" s="145">
        <f t="shared" si="6"/>
        <v>7.862638393694878</v>
      </c>
      <c r="G30" s="145">
        <f t="shared" si="6"/>
        <v>44.952148620754365</v>
      </c>
      <c r="H30" s="145">
        <f t="shared" si="6"/>
        <v>39.12553950084444</v>
      </c>
      <c r="I30" s="145">
        <f t="shared" si="6"/>
        <v>0</v>
      </c>
      <c r="J30" s="145">
        <f t="shared" si="6"/>
        <v>2.9179958716457124</v>
      </c>
      <c r="K30" s="145">
        <f t="shared" si="6"/>
        <v>8.0596734847063249</v>
      </c>
      <c r="L30" s="145">
        <f t="shared" si="6"/>
        <v>36.207543629198724</v>
      </c>
      <c r="M30" s="165">
        <f t="shared" si="6"/>
        <v>44.267217113905048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40" spans="1:15" ht="20.25">
      <c r="A40" s="202"/>
      <c r="B40" s="202"/>
      <c r="C40" s="202"/>
      <c r="D40" s="202"/>
      <c r="E40" s="202"/>
      <c r="F40" s="202"/>
      <c r="G40" s="202"/>
      <c r="H40" s="202"/>
      <c r="I40" s="202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O38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4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133" t="s">
        <v>0</v>
      </c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141</v>
      </c>
      <c r="C8" s="2"/>
      <c r="D8" s="2"/>
      <c r="E8" s="2"/>
      <c r="F8" s="2"/>
      <c r="G8" s="8" t="s">
        <v>56</v>
      </c>
      <c r="H8" s="2"/>
      <c r="I8" s="2" t="s">
        <v>152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79">
        <v>16501</v>
      </c>
      <c r="L9" s="11"/>
      <c r="M9" s="10" t="s">
        <v>77</v>
      </c>
      <c r="N9" s="120">
        <v>2020</v>
      </c>
    </row>
    <row r="10" spans="1:15" ht="18">
      <c r="A10" s="10" t="s">
        <v>6</v>
      </c>
      <c r="B10" s="11" t="s">
        <v>87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142</v>
      </c>
      <c r="C12" s="18" t="s">
        <v>142</v>
      </c>
      <c r="D12" s="18" t="s">
        <v>142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143</v>
      </c>
      <c r="C13" s="23" t="s">
        <v>143</v>
      </c>
      <c r="D13" s="23" t="s">
        <v>149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 t="s">
        <v>85</v>
      </c>
      <c r="O13" s="17"/>
    </row>
    <row r="14" spans="1:15">
      <c r="A14" s="23" t="s">
        <v>8</v>
      </c>
      <c r="B14" s="23" t="s">
        <v>144</v>
      </c>
      <c r="C14" s="23" t="s">
        <v>144</v>
      </c>
      <c r="D14" s="23" t="s">
        <v>150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145</v>
      </c>
      <c r="C15" s="23" t="s">
        <v>148</v>
      </c>
      <c r="D15" s="23" t="s">
        <v>151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30" t="s">
        <v>9</v>
      </c>
      <c r="B16" s="180">
        <v>0</v>
      </c>
      <c r="C16" s="180">
        <v>0</v>
      </c>
      <c r="D16" s="205">
        <f t="shared" ref="D16:D28" si="0">H16+K16</f>
        <v>0</v>
      </c>
      <c r="E16" s="32">
        <f t="shared" ref="E16:E27" si="1">B16+C16+D16</f>
        <v>0</v>
      </c>
      <c r="F16" s="110">
        <v>0</v>
      </c>
      <c r="G16" s="32">
        <f t="shared" ref="G16:G28" si="2">E16-F16-H16-K16</f>
        <v>0</v>
      </c>
      <c r="H16" s="110">
        <v>0</v>
      </c>
      <c r="I16" s="110">
        <v>0</v>
      </c>
      <c r="J16" s="32">
        <f t="shared" ref="J16:J28" si="3">H16-I16-L16</f>
        <v>0</v>
      </c>
      <c r="K16" s="110">
        <v>0</v>
      </c>
      <c r="L16" s="110">
        <v>0</v>
      </c>
      <c r="M16" s="32">
        <f t="shared" ref="M16:M27" si="4">SUM(K16:L16)</f>
        <v>0</v>
      </c>
      <c r="N16" s="30">
        <f t="shared" ref="N16:N27" si="5">ROUND(+M16/$K$9,3)</f>
        <v>0</v>
      </c>
      <c r="O16" s="17"/>
    </row>
    <row r="17" spans="1:15">
      <c r="A17" s="30" t="s">
        <v>10</v>
      </c>
      <c r="B17" s="180">
        <v>0</v>
      </c>
      <c r="C17" s="180">
        <v>0</v>
      </c>
      <c r="D17" s="205">
        <f t="shared" si="0"/>
        <v>0</v>
      </c>
      <c r="E17" s="32">
        <f t="shared" si="1"/>
        <v>0</v>
      </c>
      <c r="F17" s="110">
        <v>0</v>
      </c>
      <c r="G17" s="32">
        <f t="shared" si="2"/>
        <v>0</v>
      </c>
      <c r="H17" s="110">
        <v>0</v>
      </c>
      <c r="I17" s="110">
        <v>0</v>
      </c>
      <c r="J17" s="32">
        <f t="shared" si="3"/>
        <v>0</v>
      </c>
      <c r="K17" s="110">
        <v>0</v>
      </c>
      <c r="L17" s="110">
        <v>0</v>
      </c>
      <c r="M17" s="32">
        <f t="shared" si="4"/>
        <v>0</v>
      </c>
      <c r="N17" s="30">
        <f t="shared" si="5"/>
        <v>0</v>
      </c>
      <c r="O17" s="17"/>
    </row>
    <row r="18" spans="1:15">
      <c r="A18" s="30" t="s">
        <v>11</v>
      </c>
      <c r="B18" s="180">
        <v>0</v>
      </c>
      <c r="C18" s="180">
        <v>0</v>
      </c>
      <c r="D18" s="205">
        <f t="shared" si="0"/>
        <v>0</v>
      </c>
      <c r="E18" s="32">
        <f t="shared" si="1"/>
        <v>0</v>
      </c>
      <c r="F18" s="110">
        <v>0</v>
      </c>
      <c r="G18" s="32">
        <f t="shared" si="2"/>
        <v>0</v>
      </c>
      <c r="H18" s="110">
        <v>0</v>
      </c>
      <c r="I18" s="110">
        <v>0</v>
      </c>
      <c r="J18" s="32">
        <f t="shared" si="3"/>
        <v>0</v>
      </c>
      <c r="K18" s="110">
        <v>0</v>
      </c>
      <c r="L18" s="110">
        <v>0</v>
      </c>
      <c r="M18" s="32">
        <f t="shared" si="4"/>
        <v>0</v>
      </c>
      <c r="N18" s="30">
        <f t="shared" si="5"/>
        <v>0</v>
      </c>
      <c r="O18" s="17"/>
    </row>
    <row r="19" spans="1:15">
      <c r="A19" s="30" t="s">
        <v>12</v>
      </c>
      <c r="B19" s="180">
        <v>0</v>
      </c>
      <c r="C19" s="180">
        <v>0</v>
      </c>
      <c r="D19" s="205">
        <f t="shared" si="0"/>
        <v>0</v>
      </c>
      <c r="E19" s="32">
        <f t="shared" si="1"/>
        <v>0</v>
      </c>
      <c r="F19" s="110">
        <v>0</v>
      </c>
      <c r="G19" s="32">
        <f t="shared" si="2"/>
        <v>0</v>
      </c>
      <c r="H19" s="110">
        <v>0</v>
      </c>
      <c r="I19" s="110">
        <v>0</v>
      </c>
      <c r="J19" s="32">
        <f t="shared" si="3"/>
        <v>0</v>
      </c>
      <c r="K19" s="110">
        <v>0</v>
      </c>
      <c r="L19" s="110">
        <v>0</v>
      </c>
      <c r="M19" s="32">
        <f t="shared" si="4"/>
        <v>0</v>
      </c>
      <c r="N19" s="30">
        <f t="shared" si="5"/>
        <v>0</v>
      </c>
      <c r="O19" s="17"/>
    </row>
    <row r="20" spans="1:15">
      <c r="A20" s="30" t="s">
        <v>13</v>
      </c>
      <c r="B20" s="180">
        <v>0</v>
      </c>
      <c r="C20" s="180">
        <v>0</v>
      </c>
      <c r="D20" s="205">
        <f t="shared" si="0"/>
        <v>0</v>
      </c>
      <c r="E20" s="32">
        <f t="shared" si="1"/>
        <v>0</v>
      </c>
      <c r="F20" s="110">
        <v>0</v>
      </c>
      <c r="G20" s="32">
        <f t="shared" si="2"/>
        <v>0</v>
      </c>
      <c r="H20" s="110">
        <v>0</v>
      </c>
      <c r="I20" s="110">
        <v>0</v>
      </c>
      <c r="J20" s="32">
        <f t="shared" si="3"/>
        <v>0</v>
      </c>
      <c r="K20" s="110">
        <v>0</v>
      </c>
      <c r="L20" s="110">
        <v>0</v>
      </c>
      <c r="M20" s="32">
        <f t="shared" si="4"/>
        <v>0</v>
      </c>
      <c r="N20" s="30">
        <f t="shared" si="5"/>
        <v>0</v>
      </c>
      <c r="O20" s="17"/>
    </row>
    <row r="21" spans="1:15">
      <c r="A21" s="30" t="s">
        <v>14</v>
      </c>
      <c r="B21" s="180">
        <v>1310</v>
      </c>
      <c r="C21" s="180">
        <v>1337</v>
      </c>
      <c r="D21" s="205">
        <f>H21+K21</f>
        <v>2133</v>
      </c>
      <c r="E21" s="32">
        <f>B21+C21+D21</f>
        <v>4780</v>
      </c>
      <c r="F21" s="110">
        <v>0</v>
      </c>
      <c r="G21" s="32">
        <f t="shared" si="2"/>
        <v>2647</v>
      </c>
      <c r="H21" s="110">
        <v>1736</v>
      </c>
      <c r="I21" s="110">
        <v>256</v>
      </c>
      <c r="J21" s="32">
        <f t="shared" si="3"/>
        <v>1072</v>
      </c>
      <c r="K21" s="110">
        <v>397</v>
      </c>
      <c r="L21" s="110">
        <v>408</v>
      </c>
      <c r="M21" s="32">
        <f t="shared" si="4"/>
        <v>805</v>
      </c>
      <c r="N21" s="30">
        <f t="shared" si="5"/>
        <v>4.9000000000000002E-2</v>
      </c>
      <c r="O21" s="17"/>
    </row>
    <row r="22" spans="1:15">
      <c r="A22" s="30" t="s">
        <v>15</v>
      </c>
      <c r="B22" s="180">
        <v>725</v>
      </c>
      <c r="C22" s="180">
        <v>542</v>
      </c>
      <c r="D22" s="205">
        <f t="shared" si="0"/>
        <v>2665</v>
      </c>
      <c r="E22" s="32">
        <f t="shared" si="1"/>
        <v>3932</v>
      </c>
      <c r="F22" s="110">
        <v>0</v>
      </c>
      <c r="G22" s="32">
        <f t="shared" si="2"/>
        <v>1267</v>
      </c>
      <c r="H22" s="110">
        <v>2074</v>
      </c>
      <c r="I22" s="110">
        <v>422</v>
      </c>
      <c r="J22" s="32">
        <f t="shared" si="3"/>
        <v>933</v>
      </c>
      <c r="K22" s="110">
        <v>591</v>
      </c>
      <c r="L22" s="110">
        <v>719</v>
      </c>
      <c r="M22" s="32">
        <f t="shared" si="4"/>
        <v>1310</v>
      </c>
      <c r="N22" s="30">
        <f t="shared" si="5"/>
        <v>7.9000000000000001E-2</v>
      </c>
      <c r="O22" s="17"/>
    </row>
    <row r="23" spans="1:15">
      <c r="A23" s="30" t="s">
        <v>16</v>
      </c>
      <c r="B23" s="180">
        <v>1533</v>
      </c>
      <c r="C23" s="180">
        <v>1214</v>
      </c>
      <c r="D23" s="205">
        <f t="shared" si="0"/>
        <v>5036</v>
      </c>
      <c r="E23" s="32">
        <f t="shared" si="1"/>
        <v>7783</v>
      </c>
      <c r="F23" s="110">
        <v>0</v>
      </c>
      <c r="G23" s="32">
        <f t="shared" si="2"/>
        <v>2747</v>
      </c>
      <c r="H23" s="110">
        <v>3663</v>
      </c>
      <c r="I23" s="180">
        <v>600</v>
      </c>
      <c r="J23" s="32">
        <f t="shared" si="3"/>
        <v>709</v>
      </c>
      <c r="K23" s="110">
        <v>1373</v>
      </c>
      <c r="L23" s="110">
        <v>2354</v>
      </c>
      <c r="M23" s="32">
        <f t="shared" si="4"/>
        <v>3727</v>
      </c>
      <c r="N23" s="199">
        <f t="shared" si="5"/>
        <v>0.22600000000000001</v>
      </c>
      <c r="O23" s="17"/>
    </row>
    <row r="24" spans="1:15">
      <c r="A24" s="30" t="s">
        <v>17</v>
      </c>
      <c r="B24" s="183">
        <v>280</v>
      </c>
      <c r="C24" s="180">
        <v>187</v>
      </c>
      <c r="D24" s="205">
        <f t="shared" si="0"/>
        <v>1219</v>
      </c>
      <c r="E24" s="32">
        <f t="shared" si="1"/>
        <v>1686</v>
      </c>
      <c r="F24" s="110">
        <v>0</v>
      </c>
      <c r="G24" s="71">
        <f t="shared" si="2"/>
        <v>467</v>
      </c>
      <c r="H24" s="110">
        <v>888</v>
      </c>
      <c r="I24" s="180">
        <v>254</v>
      </c>
      <c r="J24" s="32">
        <f t="shared" si="3"/>
        <v>239</v>
      </c>
      <c r="K24" s="110">
        <v>331</v>
      </c>
      <c r="L24" s="110">
        <v>395</v>
      </c>
      <c r="M24" s="32">
        <f t="shared" si="4"/>
        <v>726</v>
      </c>
      <c r="N24" s="30">
        <f t="shared" si="5"/>
        <v>4.3999999999999997E-2</v>
      </c>
      <c r="O24" s="17"/>
    </row>
    <row r="25" spans="1:15">
      <c r="A25" s="30" t="s">
        <v>18</v>
      </c>
      <c r="B25" s="180">
        <v>0</v>
      </c>
      <c r="C25" s="180">
        <v>0</v>
      </c>
      <c r="D25" s="205">
        <f t="shared" si="0"/>
        <v>0</v>
      </c>
      <c r="E25" s="32">
        <f>B25+C25+D25</f>
        <v>0</v>
      </c>
      <c r="F25" s="110">
        <v>0</v>
      </c>
      <c r="G25" s="32">
        <f t="shared" si="2"/>
        <v>0</v>
      </c>
      <c r="H25" s="110">
        <v>0</v>
      </c>
      <c r="I25" s="110">
        <v>0</v>
      </c>
      <c r="J25" s="32">
        <f t="shared" si="3"/>
        <v>0</v>
      </c>
      <c r="K25" s="110">
        <v>0</v>
      </c>
      <c r="L25" s="110">
        <v>0</v>
      </c>
      <c r="M25" s="32">
        <f t="shared" si="4"/>
        <v>0</v>
      </c>
      <c r="N25" s="30">
        <f t="shared" si="5"/>
        <v>0</v>
      </c>
      <c r="O25" s="17"/>
    </row>
    <row r="26" spans="1:15">
      <c r="A26" s="30" t="s">
        <v>19</v>
      </c>
      <c r="B26" s="180">
        <v>0</v>
      </c>
      <c r="C26" s="180">
        <v>0</v>
      </c>
      <c r="D26" s="205">
        <f t="shared" si="0"/>
        <v>0</v>
      </c>
      <c r="E26" s="32">
        <f t="shared" si="1"/>
        <v>0</v>
      </c>
      <c r="F26" s="110">
        <v>0</v>
      </c>
      <c r="G26" s="32">
        <f t="shared" si="2"/>
        <v>0</v>
      </c>
      <c r="H26" s="110">
        <v>0</v>
      </c>
      <c r="I26" s="110">
        <v>0</v>
      </c>
      <c r="J26" s="32">
        <f t="shared" si="3"/>
        <v>0</v>
      </c>
      <c r="K26" s="110">
        <v>0</v>
      </c>
      <c r="L26" s="110">
        <v>0</v>
      </c>
      <c r="M26" s="32">
        <f t="shared" si="4"/>
        <v>0</v>
      </c>
      <c r="N26" s="30">
        <f t="shared" si="5"/>
        <v>0</v>
      </c>
      <c r="O26" s="17"/>
    </row>
    <row r="27" spans="1:15">
      <c r="A27" s="30" t="s">
        <v>20</v>
      </c>
      <c r="B27" s="180">
        <v>0</v>
      </c>
      <c r="C27" s="180">
        <v>0</v>
      </c>
      <c r="D27" s="205">
        <f t="shared" si="0"/>
        <v>0</v>
      </c>
      <c r="E27" s="32">
        <f t="shared" si="1"/>
        <v>0</v>
      </c>
      <c r="F27" s="110">
        <v>0</v>
      </c>
      <c r="G27" s="32">
        <f t="shared" si="2"/>
        <v>0</v>
      </c>
      <c r="H27" s="110">
        <v>0</v>
      </c>
      <c r="I27" s="110">
        <v>0</v>
      </c>
      <c r="J27" s="32">
        <f t="shared" si="3"/>
        <v>0</v>
      </c>
      <c r="K27" s="110">
        <v>0</v>
      </c>
      <c r="L27" s="110">
        <v>0</v>
      </c>
      <c r="M27" s="32">
        <f t="shared" si="4"/>
        <v>0</v>
      </c>
      <c r="N27" s="30">
        <f t="shared" si="5"/>
        <v>0</v>
      </c>
      <c r="O27" s="17"/>
    </row>
    <row r="28" spans="1:15" ht="15.75" thickBot="1">
      <c r="A28" s="30" t="s">
        <v>21</v>
      </c>
      <c r="B28" s="184">
        <f>SUM(B16:B27)</f>
        <v>3848</v>
      </c>
      <c r="C28" s="184">
        <f>SUM(C16:C27)</f>
        <v>3280</v>
      </c>
      <c r="D28" s="32">
        <f t="shared" si="0"/>
        <v>11053</v>
      </c>
      <c r="E28" s="32">
        <f>SUM(E16:E27)</f>
        <v>18181</v>
      </c>
      <c r="F28" s="32">
        <f>SUM(F16:F27)</f>
        <v>0</v>
      </c>
      <c r="G28" s="32">
        <f t="shared" si="2"/>
        <v>7128</v>
      </c>
      <c r="H28" s="32">
        <f>SUM(H16:H27)</f>
        <v>8361</v>
      </c>
      <c r="I28" s="32">
        <f>SUM(I16:I27)</f>
        <v>1532</v>
      </c>
      <c r="J28" s="124">
        <f t="shared" si="3"/>
        <v>2953</v>
      </c>
      <c r="K28" s="32">
        <f>SUM(K16:K27)</f>
        <v>2692</v>
      </c>
      <c r="L28" s="32">
        <f>SUM(L16:L27)</f>
        <v>3876</v>
      </c>
      <c r="M28" s="32">
        <f>SUM(M16:M27)</f>
        <v>6568</v>
      </c>
      <c r="N28" s="199">
        <f>SUM(N16:N27)</f>
        <v>0.39799999999999996</v>
      </c>
      <c r="O28" s="17"/>
    </row>
    <row r="29" spans="1:15" ht="15.75" thickTop="1">
      <c r="A29" s="72" t="s">
        <v>22</v>
      </c>
      <c r="B29" s="72"/>
      <c r="C29" s="72"/>
      <c r="D29" s="72"/>
      <c r="E29" s="72">
        <f t="shared" ref="E29:M29" si="6">ROUND(+E28/$K$9,2)</f>
        <v>1.1000000000000001</v>
      </c>
      <c r="F29" s="72">
        <f t="shared" si="6"/>
        <v>0</v>
      </c>
      <c r="G29" s="72">
        <f t="shared" si="6"/>
        <v>0.43</v>
      </c>
      <c r="H29" s="72">
        <f t="shared" si="6"/>
        <v>0.51</v>
      </c>
      <c r="I29" s="72">
        <f t="shared" si="6"/>
        <v>0.09</v>
      </c>
      <c r="J29" s="72">
        <f t="shared" si="6"/>
        <v>0.18</v>
      </c>
      <c r="K29" s="36">
        <f t="shared" si="6"/>
        <v>0.16</v>
      </c>
      <c r="L29" s="36">
        <f t="shared" si="6"/>
        <v>0.23</v>
      </c>
      <c r="M29" s="36">
        <f t="shared" si="6"/>
        <v>0.4</v>
      </c>
      <c r="N29" s="72"/>
      <c r="O29" s="17"/>
    </row>
    <row r="30" spans="1:15">
      <c r="A30" s="30" t="s">
        <v>23</v>
      </c>
      <c r="B30" s="30"/>
      <c r="C30" s="30"/>
      <c r="D30" s="30"/>
      <c r="E30" s="71">
        <f t="shared" ref="E30:M30" si="7">E28/$E$28*100</f>
        <v>100</v>
      </c>
      <c r="F30" s="71">
        <f t="shared" si="7"/>
        <v>0</v>
      </c>
      <c r="G30" s="39">
        <f t="shared" si="7"/>
        <v>39.205764259391671</v>
      </c>
      <c r="H30" s="39">
        <f t="shared" si="7"/>
        <v>45.987569440624824</v>
      </c>
      <c r="I30" s="39">
        <f t="shared" si="7"/>
        <v>8.4263791870634179</v>
      </c>
      <c r="J30" s="39">
        <f t="shared" si="7"/>
        <v>16.242230900390517</v>
      </c>
      <c r="K30" s="39">
        <f t="shared" si="7"/>
        <v>14.806666299983497</v>
      </c>
      <c r="L30" s="39">
        <f t="shared" si="7"/>
        <v>21.318959353170893</v>
      </c>
      <c r="M30" s="39">
        <f t="shared" si="7"/>
        <v>36.125625653154394</v>
      </c>
      <c r="N30" s="30"/>
      <c r="O30" s="17"/>
    </row>
    <row r="31" spans="1:15">
      <c r="A31" s="19" t="s">
        <v>24</v>
      </c>
      <c r="B31" s="19" t="s">
        <v>146</v>
      </c>
      <c r="C31" s="73"/>
      <c r="D31" s="73"/>
      <c r="E31" s="73"/>
      <c r="F31" s="73"/>
      <c r="G31" s="73"/>
      <c r="H31" s="73"/>
      <c r="I31" s="19" t="s">
        <v>66</v>
      </c>
      <c r="J31" s="73"/>
      <c r="K31" s="73"/>
      <c r="L31" s="73"/>
      <c r="M31" s="73"/>
      <c r="N31" s="73"/>
    </row>
    <row r="32" spans="1:15">
      <c r="A32" s="24"/>
      <c r="B32" s="24" t="s">
        <v>147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  <c r="M32" s="3"/>
      <c r="N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  <c r="M33" s="3"/>
      <c r="N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  <c r="M34" s="3"/>
      <c r="N34" s="3"/>
    </row>
    <row r="35" spans="1:15">
      <c r="A35" s="2" t="s">
        <v>139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5">
      <c r="A36" s="2" t="s">
        <v>140</v>
      </c>
      <c r="B36" s="2"/>
      <c r="C36" s="2"/>
      <c r="D36" s="2"/>
      <c r="E36" s="74"/>
      <c r="F36" s="2"/>
      <c r="G36" s="2"/>
      <c r="H36" s="2"/>
      <c r="I36" s="75"/>
      <c r="J36" s="2"/>
      <c r="K36" s="2"/>
      <c r="L36" s="2"/>
      <c r="M36" s="2"/>
      <c r="N36" s="2"/>
    </row>
    <row r="37" spans="1:15">
      <c r="A37" s="76" t="s">
        <v>0</v>
      </c>
      <c r="B37" s="2"/>
      <c r="C37" s="2"/>
      <c r="D37" s="2"/>
      <c r="E37" s="74"/>
      <c r="F37" s="2"/>
      <c r="G37" s="2"/>
      <c r="H37" s="2"/>
      <c r="I37" s="2"/>
      <c r="J37" s="2"/>
      <c r="K37" s="2"/>
      <c r="L37" s="2"/>
      <c r="M37" s="2"/>
      <c r="N37" s="2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7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O38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77734375" style="78" customWidth="1"/>
    <col min="2" max="14" width="8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 t="s">
        <v>0</v>
      </c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134" t="s">
        <v>0</v>
      </c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153</v>
      </c>
      <c r="C8" s="74"/>
      <c r="D8" s="74"/>
      <c r="E8" s="74"/>
      <c r="F8" s="74"/>
      <c r="G8" s="82" t="s">
        <v>56</v>
      </c>
      <c r="H8" s="74"/>
      <c r="I8" s="74" t="s">
        <v>152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1">
        <v>26633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154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155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1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ROUND(SUM(K16:L16),0)</f>
        <v>0</v>
      </c>
      <c r="N16" s="71">
        <f t="shared" ref="N16:N27" si="4">ROUND(+M16/$K$9,3)</f>
        <v>0</v>
      </c>
      <c r="O16" s="85"/>
    </row>
    <row r="17" spans="1:15">
      <c r="A17" s="71" t="s">
        <v>10</v>
      </c>
      <c r="B17" s="111">
        <v>0</v>
      </c>
      <c r="C17" s="111">
        <v>0</v>
      </c>
      <c r="D17" s="111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>
        <f t="shared" si="4"/>
        <v>0</v>
      </c>
      <c r="O17" s="85"/>
    </row>
    <row r="18" spans="1:15">
      <c r="A18" s="71" t="s">
        <v>11</v>
      </c>
      <c r="B18" s="111">
        <v>0</v>
      </c>
      <c r="C18" s="111">
        <v>0</v>
      </c>
      <c r="D18" s="111">
        <v>0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>
        <f t="shared" si="4"/>
        <v>0</v>
      </c>
      <c r="O18" s="85"/>
    </row>
    <row r="19" spans="1:15">
      <c r="A19" s="71" t="s">
        <v>12</v>
      </c>
      <c r="B19" s="111">
        <v>0</v>
      </c>
      <c r="C19" s="111">
        <v>0</v>
      </c>
      <c r="D19" s="111">
        <v>0</v>
      </c>
      <c r="E19" s="32">
        <f t="shared" si="0"/>
        <v>0</v>
      </c>
      <c r="F19" s="111">
        <v>0</v>
      </c>
      <c r="G19" s="32">
        <f t="shared" si="1"/>
        <v>0</v>
      </c>
      <c r="H19" s="111">
        <v>0</v>
      </c>
      <c r="I19" s="111">
        <v>0</v>
      </c>
      <c r="J19" s="32">
        <f t="shared" si="2"/>
        <v>0</v>
      </c>
      <c r="K19" s="111">
        <v>0</v>
      </c>
      <c r="L19" s="111">
        <v>0</v>
      </c>
      <c r="M19" s="32">
        <f t="shared" si="3"/>
        <v>0</v>
      </c>
      <c r="N19" s="71">
        <f t="shared" si="4"/>
        <v>0</v>
      </c>
      <c r="O19" s="85"/>
    </row>
    <row r="20" spans="1:15">
      <c r="A20" s="71" t="s">
        <v>13</v>
      </c>
      <c r="B20" s="111">
        <v>0</v>
      </c>
      <c r="C20" s="111">
        <v>0</v>
      </c>
      <c r="D20" s="111">
        <v>0</v>
      </c>
      <c r="E20" s="32">
        <f t="shared" si="0"/>
        <v>0</v>
      </c>
      <c r="F20" s="111">
        <v>0</v>
      </c>
      <c r="G20" s="32">
        <f t="shared" si="1"/>
        <v>0</v>
      </c>
      <c r="H20" s="111">
        <v>0</v>
      </c>
      <c r="I20" s="111">
        <v>0</v>
      </c>
      <c r="J20" s="32">
        <f t="shared" si="2"/>
        <v>0</v>
      </c>
      <c r="K20" s="111">
        <v>0</v>
      </c>
      <c r="L20" s="111">
        <v>0</v>
      </c>
      <c r="M20" s="32">
        <f t="shared" si="3"/>
        <v>0</v>
      </c>
      <c r="N20" s="71">
        <f t="shared" si="4"/>
        <v>0</v>
      </c>
      <c r="O20" s="85"/>
    </row>
    <row r="21" spans="1:15">
      <c r="A21" s="71" t="s">
        <v>14</v>
      </c>
      <c r="B21" s="111">
        <v>5246</v>
      </c>
      <c r="C21" s="111">
        <v>0</v>
      </c>
      <c r="D21" s="111">
        <v>0</v>
      </c>
      <c r="E21" s="32">
        <f t="shared" si="0"/>
        <v>5246</v>
      </c>
      <c r="F21" s="111">
        <v>0</v>
      </c>
      <c r="G21" s="32">
        <f t="shared" si="1"/>
        <v>1261</v>
      </c>
      <c r="H21" s="111">
        <v>3928</v>
      </c>
      <c r="I21" s="111">
        <v>494</v>
      </c>
      <c r="J21" s="32">
        <f t="shared" si="2"/>
        <v>2045</v>
      </c>
      <c r="K21" s="111">
        <v>57</v>
      </c>
      <c r="L21" s="111">
        <v>1389</v>
      </c>
      <c r="M21" s="32">
        <f t="shared" si="3"/>
        <v>1446</v>
      </c>
      <c r="N21" s="71">
        <f t="shared" si="4"/>
        <v>5.3999999999999999E-2</v>
      </c>
      <c r="O21" s="85"/>
    </row>
    <row r="22" spans="1:15">
      <c r="A22" s="71" t="s">
        <v>15</v>
      </c>
      <c r="B22" s="111">
        <v>5060</v>
      </c>
      <c r="C22" s="111">
        <v>0</v>
      </c>
      <c r="D22" s="111">
        <v>0</v>
      </c>
      <c r="E22" s="32">
        <f t="shared" si="0"/>
        <v>5060</v>
      </c>
      <c r="F22" s="111">
        <v>0</v>
      </c>
      <c r="G22" s="32">
        <f t="shared" si="1"/>
        <v>698</v>
      </c>
      <c r="H22" s="111">
        <v>4298</v>
      </c>
      <c r="I22" s="111">
        <v>843</v>
      </c>
      <c r="J22" s="32">
        <f t="shared" si="2"/>
        <v>1988</v>
      </c>
      <c r="K22" s="111">
        <v>64</v>
      </c>
      <c r="L22" s="111">
        <v>1467</v>
      </c>
      <c r="M22" s="32">
        <f t="shared" si="3"/>
        <v>1531</v>
      </c>
      <c r="N22" s="71">
        <f t="shared" si="4"/>
        <v>5.7000000000000002E-2</v>
      </c>
      <c r="O22" s="85"/>
    </row>
    <row r="23" spans="1:15">
      <c r="A23" s="71" t="s">
        <v>16</v>
      </c>
      <c r="B23" s="111">
        <v>11010</v>
      </c>
      <c r="C23" s="111">
        <v>0</v>
      </c>
      <c r="D23" s="111">
        <v>0</v>
      </c>
      <c r="E23" s="32">
        <f t="shared" si="0"/>
        <v>11010</v>
      </c>
      <c r="F23" s="111">
        <v>0</v>
      </c>
      <c r="G23" s="32">
        <f t="shared" si="1"/>
        <v>419</v>
      </c>
      <c r="H23" s="111">
        <v>10442</v>
      </c>
      <c r="I23" s="111">
        <v>1062</v>
      </c>
      <c r="J23" s="32">
        <f t="shared" si="2"/>
        <v>1460</v>
      </c>
      <c r="K23" s="111">
        <v>149</v>
      </c>
      <c r="L23" s="111">
        <v>7920</v>
      </c>
      <c r="M23" s="32">
        <f t="shared" si="3"/>
        <v>8069</v>
      </c>
      <c r="N23" s="71">
        <f t="shared" si="4"/>
        <v>0.30299999999999999</v>
      </c>
      <c r="O23" s="85"/>
    </row>
    <row r="24" spans="1:15">
      <c r="A24" s="71" t="s">
        <v>17</v>
      </c>
      <c r="B24" s="111">
        <v>3170</v>
      </c>
      <c r="C24" s="111">
        <v>0</v>
      </c>
      <c r="D24" s="111">
        <v>0</v>
      </c>
      <c r="E24" s="32">
        <f t="shared" si="0"/>
        <v>3170</v>
      </c>
      <c r="F24" s="111">
        <v>0</v>
      </c>
      <c r="G24" s="32">
        <f t="shared" si="1"/>
        <v>273</v>
      </c>
      <c r="H24" s="111">
        <v>2872</v>
      </c>
      <c r="I24" s="111">
        <v>500</v>
      </c>
      <c r="J24" s="32">
        <f t="shared" si="2"/>
        <v>679</v>
      </c>
      <c r="K24" s="111">
        <v>25</v>
      </c>
      <c r="L24" s="111">
        <v>1693</v>
      </c>
      <c r="M24" s="32">
        <f t="shared" si="3"/>
        <v>1718</v>
      </c>
      <c r="N24" s="71">
        <f t="shared" si="4"/>
        <v>6.5000000000000002E-2</v>
      </c>
      <c r="O24" s="85"/>
    </row>
    <row r="25" spans="1:15">
      <c r="A25" s="71" t="s">
        <v>18</v>
      </c>
      <c r="B25" s="111">
        <v>0</v>
      </c>
      <c r="C25" s="111">
        <v>0</v>
      </c>
      <c r="D25" s="111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>
        <f t="shared" si="4"/>
        <v>0</v>
      </c>
      <c r="O25" s="85"/>
    </row>
    <row r="26" spans="1:15">
      <c r="A26" s="71" t="s">
        <v>19</v>
      </c>
      <c r="B26" s="111">
        <v>0</v>
      </c>
      <c r="C26" s="111">
        <v>0</v>
      </c>
      <c r="D26" s="111"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>
        <f t="shared" si="4"/>
        <v>0</v>
      </c>
      <c r="O26" s="85"/>
    </row>
    <row r="27" spans="1:15">
      <c r="A27" s="71" t="s">
        <v>20</v>
      </c>
      <c r="B27" s="111">
        <v>0</v>
      </c>
      <c r="C27" s="111">
        <v>0</v>
      </c>
      <c r="D27" s="111"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>
        <f t="shared" si="4"/>
        <v>0</v>
      </c>
      <c r="O27" s="85"/>
    </row>
    <row r="28" spans="1:15" ht="15.75" thickBot="1">
      <c r="A28" s="71" t="s">
        <v>21</v>
      </c>
      <c r="B28" s="177">
        <f>SUM(B16:B27)</f>
        <v>24486</v>
      </c>
      <c r="C28" s="177">
        <f>SUM(C16:C27)</f>
        <v>0</v>
      </c>
      <c r="D28" s="177">
        <f>SUM(D16:D27)</f>
        <v>0</v>
      </c>
      <c r="E28" s="177">
        <f>SUM(E16:E27)</f>
        <v>24486</v>
      </c>
      <c r="F28" s="177">
        <f>SUM(F16:F27)</f>
        <v>0</v>
      </c>
      <c r="G28" s="177">
        <f t="shared" si="1"/>
        <v>2651</v>
      </c>
      <c r="H28" s="177">
        <f>SUM(H16:H27)</f>
        <v>21540</v>
      </c>
      <c r="I28" s="177">
        <f>SUM(I16:I27)</f>
        <v>2899</v>
      </c>
      <c r="J28" s="177">
        <f t="shared" si="2"/>
        <v>6172</v>
      </c>
      <c r="K28" s="177">
        <f>SUM(K16:K27)</f>
        <v>295</v>
      </c>
      <c r="L28" s="177">
        <f>SUM(L16:L27)</f>
        <v>12469</v>
      </c>
      <c r="M28" s="177">
        <f>ROUND(SUM(M16:M27),0)</f>
        <v>12764</v>
      </c>
      <c r="N28" s="201">
        <f>SUM(N16:N27)</f>
        <v>0.47899999999999998</v>
      </c>
      <c r="O28" s="85"/>
    </row>
    <row r="29" spans="1:15" ht="15.75" thickTop="1">
      <c r="A29" s="72" t="s">
        <v>22</v>
      </c>
      <c r="B29" s="88"/>
      <c r="C29" s="88"/>
      <c r="D29" s="88"/>
      <c r="E29" s="88">
        <f t="shared" ref="E29:M29" si="5">ROUND(+E28/$K$9,2)</f>
        <v>0.92</v>
      </c>
      <c r="F29" s="88">
        <f t="shared" si="5"/>
        <v>0</v>
      </c>
      <c r="G29" s="88">
        <f t="shared" si="5"/>
        <v>0.1</v>
      </c>
      <c r="H29" s="200">
        <f t="shared" si="5"/>
        <v>0.81</v>
      </c>
      <c r="I29" s="88">
        <f t="shared" si="5"/>
        <v>0.11</v>
      </c>
      <c r="J29" s="88">
        <f t="shared" si="5"/>
        <v>0.23</v>
      </c>
      <c r="K29" s="200">
        <f t="shared" si="5"/>
        <v>0.01</v>
      </c>
      <c r="L29" s="88">
        <f t="shared" si="5"/>
        <v>0.47</v>
      </c>
      <c r="M29" s="88">
        <f t="shared" si="5"/>
        <v>0.48</v>
      </c>
      <c r="N29" s="88"/>
      <c r="O29" s="85"/>
    </row>
    <row r="30" spans="1:15">
      <c r="A30" s="71" t="s">
        <v>23</v>
      </c>
      <c r="B30" s="71"/>
      <c r="C30" s="71"/>
      <c r="D30" s="71"/>
      <c r="E30" s="71">
        <f t="shared" ref="E30:M30" si="6">E28/$E$28*100</f>
        <v>100</v>
      </c>
      <c r="F30" s="71">
        <f t="shared" si="6"/>
        <v>0</v>
      </c>
      <c r="G30" s="39">
        <f t="shared" si="6"/>
        <v>10.826594788858939</v>
      </c>
      <c r="H30" s="39">
        <f t="shared" si="6"/>
        <v>87.968635138446459</v>
      </c>
      <c r="I30" s="39">
        <f t="shared" si="6"/>
        <v>11.839418443192027</v>
      </c>
      <c r="J30" s="39">
        <f t="shared" si="6"/>
        <v>25.206240300579925</v>
      </c>
      <c r="K30" s="39">
        <f t="shared" si="6"/>
        <v>1.2047700726946009</v>
      </c>
      <c r="L30" s="39">
        <f t="shared" si="6"/>
        <v>50.922976394674514</v>
      </c>
      <c r="M30" s="39">
        <f t="shared" si="6"/>
        <v>52.127746467369107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 t="s">
        <v>0</v>
      </c>
      <c r="B36" s="74"/>
      <c r="C36" s="74"/>
      <c r="D36" s="74"/>
      <c r="E36" s="74"/>
      <c r="F36" s="74"/>
      <c r="G36" s="74"/>
      <c r="H36" s="74"/>
      <c r="I36" s="75"/>
      <c r="J36" s="74"/>
      <c r="K36" s="74"/>
      <c r="L36" s="74"/>
      <c r="M36" s="74"/>
      <c r="N36" s="74"/>
    </row>
    <row r="37" spans="1:15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</row>
    <row r="38" spans="1:1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8"/>
  <sheetViews>
    <sheetView showOutlineSymbols="0" zoomScale="87" zoomScaleNormal="87" workbookViewId="0">
      <selection activeCell="M38" sqref="M38"/>
    </sheetView>
  </sheetViews>
  <sheetFormatPr defaultColWidth="9.6640625" defaultRowHeight="15"/>
  <cols>
    <col min="1" max="1" width="15.6640625" style="1" customWidth="1"/>
    <col min="2" max="14" width="7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135" t="s">
        <v>185</v>
      </c>
      <c r="C8" s="2"/>
      <c r="D8" s="2"/>
      <c r="E8" s="135" t="s">
        <v>0</v>
      </c>
      <c r="F8" s="2"/>
      <c r="G8" s="8" t="s">
        <v>56</v>
      </c>
      <c r="H8" s="2"/>
      <c r="I8" s="2" t="s">
        <v>103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2" t="s">
        <v>0</v>
      </c>
      <c r="L9" s="11"/>
      <c r="M9" s="10" t="s">
        <v>77</v>
      </c>
      <c r="N9" s="120">
        <v>2020</v>
      </c>
    </row>
    <row r="10" spans="1:15" ht="18">
      <c r="A10" s="10" t="s">
        <v>6</v>
      </c>
      <c r="B10" s="11" t="s">
        <v>102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</row>
    <row r="23" spans="1:14" ht="23.25">
      <c r="A23" s="59"/>
      <c r="B23" s="59" t="s">
        <v>187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</row>
    <row r="35" spans="1:15" ht="15.75">
      <c r="A35" s="4"/>
      <c r="B35" s="3"/>
      <c r="C35" s="3"/>
      <c r="D35" s="3"/>
      <c r="E35" s="3"/>
      <c r="F35" s="3"/>
      <c r="G35" s="3"/>
      <c r="H35" s="3"/>
      <c r="I35" s="24"/>
      <c r="J35" s="3"/>
      <c r="K35" s="3"/>
      <c r="L35" s="3"/>
      <c r="M35" s="3"/>
      <c r="N35" s="3"/>
    </row>
    <row r="36" spans="1:15">
      <c r="A36" s="2" t="s">
        <v>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44"/>
    </row>
    <row r="38" spans="1:15" ht="24" customHeight="1">
      <c r="E38" s="61"/>
    </row>
  </sheetData>
  <phoneticPr fontId="0" type="noConversion"/>
  <pageMargins left="0.5" right="0.5" top="0.5" bottom="0.5" header="0" footer="0"/>
  <pageSetup scale="90" orientation="landscape" r:id="rId1"/>
  <headerFooter alignWithMargins="0"/>
  <rowBreaks count="1" manualBreakCount="1">
    <brk id="3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O39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77734375" style="78" customWidth="1"/>
    <col min="2" max="10" width="7.6640625" style="78" customWidth="1"/>
    <col min="11" max="11" width="8.109375" style="78" customWidth="1"/>
    <col min="12" max="14" width="7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7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 t="s">
        <v>0</v>
      </c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 t="s">
        <v>0</v>
      </c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134" t="s">
        <v>0</v>
      </c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156</v>
      </c>
      <c r="C8" s="74"/>
      <c r="D8" s="74"/>
      <c r="E8" s="74"/>
      <c r="F8" s="74"/>
      <c r="G8" s="82" t="s">
        <v>56</v>
      </c>
      <c r="H8" s="74"/>
      <c r="I8" s="74" t="s">
        <v>152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5">
        <f>'ks below'!K9+'ks abov'!K9</f>
        <v>43134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157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21</v>
      </c>
      <c r="C12" s="86" t="s">
        <v>29</v>
      </c>
      <c r="D12" s="86" t="s">
        <v>38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158</v>
      </c>
      <c r="C13" s="89" t="s">
        <v>30</v>
      </c>
      <c r="D13" s="89" t="s">
        <v>30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159</v>
      </c>
      <c r="C14" s="89" t="s">
        <v>155</v>
      </c>
      <c r="D14" s="89" t="s">
        <v>39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155</v>
      </c>
      <c r="C15" s="89" t="s">
        <v>161</v>
      </c>
      <c r="D15" s="89" t="s">
        <v>40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53">
        <v>0</v>
      </c>
      <c r="C16" s="53">
        <f>'ks below'!B16</f>
        <v>0</v>
      </c>
      <c r="D16" s="53">
        <v>0</v>
      </c>
      <c r="E16" s="32">
        <f t="shared" ref="E16:E27" si="0">B16+C16+D16</f>
        <v>0</v>
      </c>
      <c r="F16" s="111">
        <v>0</v>
      </c>
      <c r="G16" s="32">
        <f>E16-F16-H16-K16</f>
        <v>0</v>
      </c>
      <c r="H16" s="53">
        <f>'ks abov'!H16+'ks below'!H16</f>
        <v>0</v>
      </c>
      <c r="I16" s="53">
        <f>'ks abov'!I16+'ks below'!I16</f>
        <v>0</v>
      </c>
      <c r="J16" s="32">
        <f>H16-I16-L16</f>
        <v>0</v>
      </c>
      <c r="K16" s="53">
        <f>'ks abov'!K16+'ks below'!K16</f>
        <v>0</v>
      </c>
      <c r="L16" s="53">
        <f>'ks abov'!L16+'ks below'!L16</f>
        <v>0</v>
      </c>
      <c r="M16" s="32">
        <f t="shared" ref="M16:M27" si="1">SUM(K16:L16)</f>
        <v>0</v>
      </c>
      <c r="N16" s="71">
        <f t="shared" ref="N16:N28" si="2">ROUND(+M16/$K$9,3)</f>
        <v>0</v>
      </c>
      <c r="O16" s="85"/>
    </row>
    <row r="17" spans="1:15">
      <c r="A17" s="71" t="s">
        <v>10</v>
      </c>
      <c r="B17" s="53">
        <v>0</v>
      </c>
      <c r="C17" s="53">
        <f>'ks below'!B17</f>
        <v>0</v>
      </c>
      <c r="D17" s="53">
        <v>0</v>
      </c>
      <c r="E17" s="32">
        <f t="shared" si="0"/>
        <v>0</v>
      </c>
      <c r="F17" s="111">
        <v>0</v>
      </c>
      <c r="G17" s="32">
        <f>E17-F17-H17-K17</f>
        <v>0</v>
      </c>
      <c r="H17" s="53">
        <f>'ks abov'!H17+'ks below'!H17</f>
        <v>0</v>
      </c>
      <c r="I17" s="53">
        <f>'ks abov'!I17+'ks below'!I17</f>
        <v>0</v>
      </c>
      <c r="J17" s="32">
        <f>H17-I17-L17</f>
        <v>0</v>
      </c>
      <c r="K17" s="53">
        <f>'ks abov'!K17+'ks below'!K17</f>
        <v>0</v>
      </c>
      <c r="L17" s="53">
        <f>'ks abov'!L17+'ks below'!L17</f>
        <v>0</v>
      </c>
      <c r="M17" s="32">
        <f t="shared" si="1"/>
        <v>0</v>
      </c>
      <c r="N17" s="71">
        <f t="shared" si="2"/>
        <v>0</v>
      </c>
      <c r="O17" s="85"/>
    </row>
    <row r="18" spans="1:15">
      <c r="A18" s="71" t="s">
        <v>11</v>
      </c>
      <c r="B18" s="53">
        <v>0</v>
      </c>
      <c r="C18" s="53">
        <f>'ks below'!B18</f>
        <v>0</v>
      </c>
      <c r="D18" s="53">
        <v>0</v>
      </c>
      <c r="E18" s="32">
        <f t="shared" si="0"/>
        <v>0</v>
      </c>
      <c r="F18" s="111">
        <v>0</v>
      </c>
      <c r="G18" s="32">
        <f>E18-F18-H18-K18</f>
        <v>0</v>
      </c>
      <c r="H18" s="53">
        <f>'ks abov'!H18+'ks below'!H18</f>
        <v>0</v>
      </c>
      <c r="I18" s="53">
        <f>'ks abov'!I18+'ks below'!I18</f>
        <v>0</v>
      </c>
      <c r="J18" s="32">
        <f>H18-I18-L18</f>
        <v>0</v>
      </c>
      <c r="K18" s="53">
        <f>'ks abov'!K18+'ks below'!K18</f>
        <v>0</v>
      </c>
      <c r="L18" s="53">
        <f>'ks abov'!L18+'ks below'!L18</f>
        <v>0</v>
      </c>
      <c r="M18" s="32">
        <f t="shared" si="1"/>
        <v>0</v>
      </c>
      <c r="N18" s="71">
        <f t="shared" si="2"/>
        <v>0</v>
      </c>
      <c r="O18" s="85"/>
    </row>
    <row r="19" spans="1:15">
      <c r="A19" s="71" t="s">
        <v>12</v>
      </c>
      <c r="B19" s="53">
        <f>'ks abov'!E19</f>
        <v>0</v>
      </c>
      <c r="C19" s="53">
        <f>'ks below'!B19</f>
        <v>0</v>
      </c>
      <c r="D19" s="53">
        <v>0</v>
      </c>
      <c r="E19" s="32">
        <f t="shared" si="0"/>
        <v>0</v>
      </c>
      <c r="F19" s="111">
        <v>0</v>
      </c>
      <c r="G19" s="32">
        <f>E19-F19-H19-K19</f>
        <v>0</v>
      </c>
      <c r="H19" s="53">
        <f>'ks abov'!H19+'ks below'!H19</f>
        <v>0</v>
      </c>
      <c r="I19" s="53">
        <f>'ks abov'!I19+'ks below'!I19</f>
        <v>0</v>
      </c>
      <c r="J19" s="32">
        <f>H19-I19-I15</f>
        <v>0</v>
      </c>
      <c r="K19" s="53">
        <f>'ks abov'!K19+'ks below'!K19</f>
        <v>0</v>
      </c>
      <c r="L19" s="53">
        <f>'ks abov'!L19+'ks below'!L19</f>
        <v>0</v>
      </c>
      <c r="M19" s="32">
        <f t="shared" si="1"/>
        <v>0</v>
      </c>
      <c r="N19" s="71">
        <f t="shared" si="2"/>
        <v>0</v>
      </c>
      <c r="O19" s="85"/>
    </row>
    <row r="20" spans="1:15">
      <c r="A20" s="71" t="s">
        <v>13</v>
      </c>
      <c r="B20" s="53">
        <f>'ks abov'!E20</f>
        <v>0</v>
      </c>
      <c r="C20" s="53">
        <f>'ks below'!B20</f>
        <v>0</v>
      </c>
      <c r="D20" s="53">
        <v>0</v>
      </c>
      <c r="E20" s="32">
        <f t="shared" si="0"/>
        <v>0</v>
      </c>
      <c r="F20" s="111">
        <v>0</v>
      </c>
      <c r="G20" s="32">
        <f t="shared" ref="G20:G27" si="3">E20-F20-H20-K20</f>
        <v>0</v>
      </c>
      <c r="H20" s="53">
        <f>'ks abov'!H20+'ks below'!H20</f>
        <v>0</v>
      </c>
      <c r="I20" s="53">
        <f>'ks abov'!I20+'ks below'!I20</f>
        <v>0</v>
      </c>
      <c r="J20" s="32">
        <f t="shared" ref="J20:J28" si="4">H20-I20-L20</f>
        <v>0</v>
      </c>
      <c r="K20" s="53">
        <f>'ks abov'!K20+'ks below'!K20</f>
        <v>0</v>
      </c>
      <c r="L20" s="53">
        <f>'ks abov'!L20+'ks below'!L20</f>
        <v>0</v>
      </c>
      <c r="M20" s="32">
        <f t="shared" si="1"/>
        <v>0</v>
      </c>
      <c r="N20" s="71">
        <f t="shared" si="2"/>
        <v>0</v>
      </c>
      <c r="O20" s="85"/>
    </row>
    <row r="21" spans="1:15">
      <c r="A21" s="71" t="s">
        <v>14</v>
      </c>
      <c r="B21" s="53">
        <f>'ks abov'!E21</f>
        <v>4780</v>
      </c>
      <c r="C21" s="53">
        <f>'ks below'!B21</f>
        <v>5246</v>
      </c>
      <c r="D21" s="53">
        <v>0</v>
      </c>
      <c r="E21" s="32">
        <f t="shared" si="0"/>
        <v>10026</v>
      </c>
      <c r="F21" s="111">
        <v>0</v>
      </c>
      <c r="G21" s="32">
        <f t="shared" si="3"/>
        <v>3908</v>
      </c>
      <c r="H21" s="53">
        <f>'ks abov'!H21+'ks below'!H21</f>
        <v>5664</v>
      </c>
      <c r="I21" s="53">
        <f>'ks abov'!I21+'ks below'!I21</f>
        <v>750</v>
      </c>
      <c r="J21" s="32">
        <f t="shared" si="4"/>
        <v>3117</v>
      </c>
      <c r="K21" s="53">
        <f>'ks abov'!K21+'ks below'!K21</f>
        <v>454</v>
      </c>
      <c r="L21" s="53">
        <f>'ks abov'!L21+'ks below'!L21</f>
        <v>1797</v>
      </c>
      <c r="M21" s="32">
        <f t="shared" si="1"/>
        <v>2251</v>
      </c>
      <c r="N21" s="71">
        <f t="shared" si="2"/>
        <v>5.1999999999999998E-2</v>
      </c>
      <c r="O21" s="85"/>
    </row>
    <row r="22" spans="1:15">
      <c r="A22" s="71" t="s">
        <v>15</v>
      </c>
      <c r="B22" s="53">
        <f>'ks abov'!E22</f>
        <v>3932</v>
      </c>
      <c r="C22" s="53">
        <f>'ks below'!B22</f>
        <v>5060</v>
      </c>
      <c r="D22" s="53">
        <v>0</v>
      </c>
      <c r="E22" s="32">
        <f t="shared" si="0"/>
        <v>8992</v>
      </c>
      <c r="F22" s="111">
        <v>0</v>
      </c>
      <c r="G22" s="32">
        <f t="shared" si="3"/>
        <v>1965</v>
      </c>
      <c r="H22" s="53">
        <f>'ks abov'!H22+'ks below'!H22</f>
        <v>6372</v>
      </c>
      <c r="I22" s="53">
        <f>'ks abov'!I22+'ks below'!I22</f>
        <v>1265</v>
      </c>
      <c r="J22" s="32">
        <f t="shared" si="4"/>
        <v>2921</v>
      </c>
      <c r="K22" s="53">
        <f>'ks abov'!K22+'ks below'!K22</f>
        <v>655</v>
      </c>
      <c r="L22" s="53">
        <f>'ks abov'!L22+'ks below'!L22</f>
        <v>2186</v>
      </c>
      <c r="M22" s="32">
        <f t="shared" si="1"/>
        <v>2841</v>
      </c>
      <c r="N22" s="71">
        <f t="shared" si="2"/>
        <v>6.6000000000000003E-2</v>
      </c>
      <c r="O22" s="85"/>
    </row>
    <row r="23" spans="1:15">
      <c r="A23" s="71" t="s">
        <v>16</v>
      </c>
      <c r="B23" s="53">
        <f>'ks abov'!E23</f>
        <v>7783</v>
      </c>
      <c r="C23" s="53">
        <f>'ks below'!B23</f>
        <v>11010</v>
      </c>
      <c r="D23" s="53">
        <v>0</v>
      </c>
      <c r="E23" s="32">
        <f t="shared" si="0"/>
        <v>18793</v>
      </c>
      <c r="F23" s="111">
        <v>0</v>
      </c>
      <c r="G23" s="32">
        <f t="shared" si="3"/>
        <v>3166</v>
      </c>
      <c r="H23" s="53">
        <f>'ks abov'!H23+'ks below'!H23</f>
        <v>14105</v>
      </c>
      <c r="I23" s="53">
        <f>'ks abov'!I23+'ks below'!I23</f>
        <v>1662</v>
      </c>
      <c r="J23" s="32">
        <f t="shared" si="4"/>
        <v>2169</v>
      </c>
      <c r="K23" s="53">
        <f>'ks abov'!K23+'ks below'!K23</f>
        <v>1522</v>
      </c>
      <c r="L23" s="53">
        <f>'ks abov'!L23+'ks below'!L23</f>
        <v>10274</v>
      </c>
      <c r="M23" s="32">
        <f t="shared" si="1"/>
        <v>11796</v>
      </c>
      <c r="N23" s="71">
        <f t="shared" si="2"/>
        <v>0.27300000000000002</v>
      </c>
      <c r="O23" s="85"/>
    </row>
    <row r="24" spans="1:15">
      <c r="A24" s="71" t="s">
        <v>17</v>
      </c>
      <c r="B24" s="53">
        <f>'ks abov'!E24</f>
        <v>1686</v>
      </c>
      <c r="C24" s="53">
        <f>'ks below'!B24</f>
        <v>3170</v>
      </c>
      <c r="D24" s="53">
        <v>0</v>
      </c>
      <c r="E24" s="32">
        <f t="shared" si="0"/>
        <v>4856</v>
      </c>
      <c r="F24" s="111">
        <v>0</v>
      </c>
      <c r="G24" s="32">
        <f t="shared" si="3"/>
        <v>740</v>
      </c>
      <c r="H24" s="53">
        <f>'ks abov'!H24+'ks below'!H24</f>
        <v>3760</v>
      </c>
      <c r="I24" s="53">
        <f>'ks abov'!I24+'ks below'!I24</f>
        <v>754</v>
      </c>
      <c r="J24" s="32">
        <f t="shared" si="4"/>
        <v>918</v>
      </c>
      <c r="K24" s="53">
        <f>'ks abov'!K24+'ks below'!K24</f>
        <v>356</v>
      </c>
      <c r="L24" s="53">
        <f>'ks abov'!L24+'ks below'!L24</f>
        <v>2088</v>
      </c>
      <c r="M24" s="32">
        <f t="shared" si="1"/>
        <v>2444</v>
      </c>
      <c r="N24" s="71">
        <f t="shared" si="2"/>
        <v>5.7000000000000002E-2</v>
      </c>
      <c r="O24" s="85"/>
    </row>
    <row r="25" spans="1:15">
      <c r="A25" s="71" t="s">
        <v>18</v>
      </c>
      <c r="B25" s="53">
        <f>'ks abov'!E25</f>
        <v>0</v>
      </c>
      <c r="C25" s="53">
        <f>'ks below'!B25</f>
        <v>0</v>
      </c>
      <c r="D25" s="53">
        <v>0</v>
      </c>
      <c r="E25" s="32">
        <f t="shared" si="0"/>
        <v>0</v>
      </c>
      <c r="F25" s="111">
        <v>0</v>
      </c>
      <c r="G25" s="32">
        <f t="shared" si="3"/>
        <v>0</v>
      </c>
      <c r="H25" s="53">
        <f>'ks abov'!H25+'ks below'!H25</f>
        <v>0</v>
      </c>
      <c r="I25" s="53">
        <f>'ks abov'!I25+'ks below'!I25</f>
        <v>0</v>
      </c>
      <c r="J25" s="32">
        <f t="shared" si="4"/>
        <v>0</v>
      </c>
      <c r="K25" s="53">
        <f>'ks abov'!K25+'ks below'!K25</f>
        <v>0</v>
      </c>
      <c r="L25" s="53">
        <f>'ks abov'!L25+'ks below'!L25</f>
        <v>0</v>
      </c>
      <c r="M25" s="32">
        <f t="shared" si="1"/>
        <v>0</v>
      </c>
      <c r="N25" s="71">
        <f t="shared" si="2"/>
        <v>0</v>
      </c>
      <c r="O25" s="85"/>
    </row>
    <row r="26" spans="1:15">
      <c r="A26" s="71" t="s">
        <v>19</v>
      </c>
      <c r="B26" s="53">
        <f>'ks abov'!E26</f>
        <v>0</v>
      </c>
      <c r="C26" s="53">
        <f>'ks below'!B26</f>
        <v>0</v>
      </c>
      <c r="D26" s="53">
        <v>0</v>
      </c>
      <c r="E26" s="32">
        <f t="shared" si="0"/>
        <v>0</v>
      </c>
      <c r="F26" s="111">
        <v>0</v>
      </c>
      <c r="G26" s="32">
        <f t="shared" si="3"/>
        <v>0</v>
      </c>
      <c r="H26" s="53">
        <f>'ks abov'!H26+'ks below'!H26</f>
        <v>0</v>
      </c>
      <c r="I26" s="53">
        <f>'ks abov'!I26+'ks below'!I26</f>
        <v>0</v>
      </c>
      <c r="J26" s="32">
        <f t="shared" si="4"/>
        <v>0</v>
      </c>
      <c r="K26" s="53">
        <f>'ks abov'!K26+'ks below'!K26</f>
        <v>0</v>
      </c>
      <c r="L26" s="53">
        <f>'ks abov'!L26+'ks below'!L26</f>
        <v>0</v>
      </c>
      <c r="M26" s="32">
        <f t="shared" si="1"/>
        <v>0</v>
      </c>
      <c r="N26" s="71">
        <f t="shared" si="2"/>
        <v>0</v>
      </c>
      <c r="O26" s="85"/>
    </row>
    <row r="27" spans="1:15">
      <c r="A27" s="71" t="s">
        <v>20</v>
      </c>
      <c r="B27" s="53">
        <f>'ks abov'!E27</f>
        <v>0</v>
      </c>
      <c r="C27" s="53">
        <f>'ks below'!B27</f>
        <v>0</v>
      </c>
      <c r="D27" s="53">
        <v>0</v>
      </c>
      <c r="E27" s="32">
        <f t="shared" si="0"/>
        <v>0</v>
      </c>
      <c r="F27" s="111">
        <v>0</v>
      </c>
      <c r="G27" s="32">
        <f t="shared" si="3"/>
        <v>0</v>
      </c>
      <c r="H27" s="53">
        <f>'ks abov'!H27+'ks below'!H27</f>
        <v>0</v>
      </c>
      <c r="I27" s="53">
        <f>'ks abov'!I27+'ks below'!I27</f>
        <v>0</v>
      </c>
      <c r="J27" s="32">
        <f t="shared" si="4"/>
        <v>0</v>
      </c>
      <c r="K27" s="53">
        <f>'ks abov'!K27+'ks below'!K27</f>
        <v>0</v>
      </c>
      <c r="L27" s="53">
        <f>'ks abov'!L27+'ks below'!L27</f>
        <v>0</v>
      </c>
      <c r="M27" s="32">
        <f t="shared" si="1"/>
        <v>0</v>
      </c>
      <c r="N27" s="71">
        <f t="shared" si="2"/>
        <v>0</v>
      </c>
      <c r="O27" s="85"/>
    </row>
    <row r="28" spans="1:15" ht="15.75" thickBot="1">
      <c r="A28" s="71" t="s">
        <v>21</v>
      </c>
      <c r="B28" s="32">
        <f t="shared" ref="B28:I28" si="5">SUM(B16:B27)</f>
        <v>18181</v>
      </c>
      <c r="C28" s="32">
        <f t="shared" si="5"/>
        <v>24486</v>
      </c>
      <c r="D28" s="32">
        <f t="shared" si="5"/>
        <v>0</v>
      </c>
      <c r="E28" s="32">
        <f t="shared" si="5"/>
        <v>42667</v>
      </c>
      <c r="F28" s="32">
        <f t="shared" si="5"/>
        <v>0</v>
      </c>
      <c r="G28" s="32">
        <f t="shared" si="5"/>
        <v>9779</v>
      </c>
      <c r="H28" s="32">
        <f t="shared" si="5"/>
        <v>29901</v>
      </c>
      <c r="I28" s="32">
        <f t="shared" si="5"/>
        <v>4431</v>
      </c>
      <c r="J28" s="32">
        <f t="shared" si="4"/>
        <v>9125</v>
      </c>
      <c r="K28" s="32">
        <f>SUM(K16:K27)</f>
        <v>2987</v>
      </c>
      <c r="L28" s="32">
        <f>SUM(L16:L27)</f>
        <v>16345</v>
      </c>
      <c r="M28" s="32">
        <f>SUM(M16:M27)</f>
        <v>19332</v>
      </c>
      <c r="N28" s="113">
        <f t="shared" si="2"/>
        <v>0.44800000000000001</v>
      </c>
      <c r="O28" s="85"/>
    </row>
    <row r="29" spans="1:15" ht="15.75" thickTop="1">
      <c r="A29" s="72" t="s">
        <v>22</v>
      </c>
      <c r="B29" s="72"/>
      <c r="C29" s="72"/>
      <c r="D29" s="72"/>
      <c r="E29" s="72">
        <f t="shared" ref="E29:M29" si="6">ROUND(+E28/$K$9,2)</f>
        <v>0.99</v>
      </c>
      <c r="F29" s="72">
        <f t="shared" si="6"/>
        <v>0</v>
      </c>
      <c r="G29" s="72">
        <f t="shared" si="6"/>
        <v>0.23</v>
      </c>
      <c r="H29" s="36">
        <f t="shared" si="6"/>
        <v>0.69</v>
      </c>
      <c r="I29" s="72">
        <f t="shared" si="6"/>
        <v>0.1</v>
      </c>
      <c r="J29" s="72">
        <f t="shared" si="6"/>
        <v>0.21</v>
      </c>
      <c r="K29" s="72">
        <f t="shared" si="6"/>
        <v>7.0000000000000007E-2</v>
      </c>
      <c r="L29" s="72">
        <f t="shared" si="6"/>
        <v>0.38</v>
      </c>
      <c r="M29" s="72">
        <f t="shared" si="6"/>
        <v>0.45</v>
      </c>
      <c r="N29" s="88"/>
      <c r="O29" s="85"/>
    </row>
    <row r="30" spans="1:15">
      <c r="A30" s="71" t="s">
        <v>23</v>
      </c>
      <c r="B30" s="71"/>
      <c r="C30" s="71"/>
      <c r="D30" s="71"/>
      <c r="E30" s="71">
        <f t="shared" ref="E30:M30" si="7">ROUND(+E28/$E$28*100,1)</f>
        <v>100</v>
      </c>
      <c r="F30" s="71">
        <f t="shared" si="7"/>
        <v>0</v>
      </c>
      <c r="G30" s="71">
        <f t="shared" si="7"/>
        <v>22.9</v>
      </c>
      <c r="H30" s="71">
        <f t="shared" si="7"/>
        <v>70.099999999999994</v>
      </c>
      <c r="I30" s="71">
        <f t="shared" si="7"/>
        <v>10.4</v>
      </c>
      <c r="J30" s="71">
        <f t="shared" si="7"/>
        <v>21.4</v>
      </c>
      <c r="K30" s="71">
        <f t="shared" si="7"/>
        <v>7</v>
      </c>
      <c r="L30" s="71">
        <f t="shared" si="7"/>
        <v>38.299999999999997</v>
      </c>
      <c r="M30" s="71">
        <f t="shared" si="7"/>
        <v>45.3</v>
      </c>
      <c r="N30" s="71"/>
      <c r="O30" s="85"/>
    </row>
    <row r="31" spans="1:15">
      <c r="A31" s="87" t="s">
        <v>24</v>
      </c>
      <c r="B31" s="87" t="s">
        <v>160</v>
      </c>
      <c r="C31" s="73"/>
      <c r="D31" s="73"/>
      <c r="E31" s="73"/>
      <c r="F31" s="73"/>
      <c r="G31" s="73"/>
      <c r="H31" s="73"/>
      <c r="I31" s="87" t="s">
        <v>66</v>
      </c>
      <c r="J31" s="73"/>
      <c r="K31" s="73"/>
      <c r="L31" s="73"/>
      <c r="M31" s="73"/>
      <c r="N31" s="73"/>
    </row>
    <row r="32" spans="1:15">
      <c r="A32" s="75"/>
      <c r="B32" s="75" t="s">
        <v>147</v>
      </c>
      <c r="C32" s="74"/>
      <c r="D32" s="74"/>
      <c r="E32" s="74"/>
      <c r="F32" s="74"/>
      <c r="G32" s="74"/>
      <c r="H32" s="74"/>
      <c r="I32" s="75" t="s">
        <v>67</v>
      </c>
      <c r="J32" s="74"/>
      <c r="K32" s="74"/>
      <c r="L32" s="74"/>
      <c r="M32" s="74"/>
      <c r="N32" s="74"/>
    </row>
    <row r="33" spans="1:15">
      <c r="A33" s="75"/>
      <c r="B33" s="75" t="s">
        <v>35</v>
      </c>
      <c r="C33" s="74"/>
      <c r="D33" s="74"/>
      <c r="E33" s="74"/>
      <c r="F33" s="74"/>
      <c r="G33" s="74"/>
      <c r="H33" s="74"/>
      <c r="I33" s="75" t="s">
        <v>68</v>
      </c>
      <c r="J33" s="74"/>
      <c r="K33" s="74"/>
      <c r="L33" s="74"/>
      <c r="M33" s="74"/>
      <c r="N33" s="74"/>
    </row>
    <row r="34" spans="1:15">
      <c r="A34" s="75"/>
      <c r="B34" s="75" t="s">
        <v>36</v>
      </c>
      <c r="C34" s="74"/>
      <c r="D34" s="74"/>
      <c r="E34" s="74"/>
      <c r="F34" s="74"/>
      <c r="G34" s="74"/>
      <c r="H34" s="74"/>
      <c r="I34" s="75" t="s">
        <v>69</v>
      </c>
      <c r="J34" s="74"/>
      <c r="K34" s="74"/>
      <c r="L34" s="74"/>
      <c r="M34" s="74"/>
      <c r="N34" s="74"/>
    </row>
    <row r="35" spans="1:15">
      <c r="A35" s="75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7"/>
    </row>
    <row r="36" spans="1:15">
      <c r="A36" s="76" t="s">
        <v>0</v>
      </c>
      <c r="B36" s="74"/>
      <c r="C36" s="74"/>
      <c r="D36" s="74"/>
      <c r="E36" s="74"/>
      <c r="F36" s="74"/>
      <c r="G36" s="74"/>
      <c r="H36" s="74"/>
      <c r="I36" s="75"/>
      <c r="J36" s="74"/>
      <c r="K36" s="74"/>
      <c r="L36" s="74"/>
      <c r="M36" s="74"/>
      <c r="N36" s="74"/>
    </row>
    <row r="37" spans="1:15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</row>
    <row r="39" spans="1:15">
      <c r="E39" s="77"/>
      <c r="J39" s="77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33" manualBreakCount="33">
    <brk id="1" min="2" max="3" man="1"/>
    <brk id="4" min="5" max="6" man="1"/>
    <brk id="7" min="8" max="9" man="1"/>
    <brk id="10" min="11" max="12" man="1"/>
    <brk id="13" min="14" max="15" man="1"/>
    <brk id="16" min="17" max="18" man="1"/>
    <brk id="19" min="20" max="21" man="1"/>
    <brk id="22" min="23" max="24" man="1"/>
    <brk id="25" min="26" max="27" man="1"/>
    <brk id="28" min="29" max="30" man="1"/>
    <brk id="31" min="32" max="33"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S46"/>
  <sheetViews>
    <sheetView showOutlineSymbols="0" topLeftCell="A4" zoomScale="87" zoomScaleNormal="87" workbookViewId="0">
      <selection activeCell="O17" sqref="O17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13" width="7.6640625" style="1" customWidth="1"/>
    <col min="14" max="14" width="8.6640625" style="1" customWidth="1"/>
    <col min="15" max="15" width="4.77734375" style="1" customWidth="1"/>
    <col min="16" max="16384" width="9.6640625" style="1"/>
  </cols>
  <sheetData>
    <row r="1" spans="1:15">
      <c r="A1" s="3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7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  <c r="O3" s="7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  <c r="O4" s="7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  <c r="O5" s="7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  <c r="O6" s="7"/>
    </row>
    <row r="7" spans="1: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7"/>
    </row>
    <row r="8" spans="1:15" ht="18">
      <c r="A8" s="8" t="s">
        <v>56</v>
      </c>
      <c r="B8" s="3"/>
      <c r="C8" s="3" t="s">
        <v>131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7"/>
    </row>
    <row r="9" spans="1:15" ht="18">
      <c r="A9" s="10" t="s">
        <v>5</v>
      </c>
      <c r="B9" s="62" t="s">
        <v>26</v>
      </c>
      <c r="C9" s="62"/>
      <c r="D9" s="62"/>
      <c r="E9" s="62"/>
      <c r="F9" s="62"/>
      <c r="G9" s="10" t="s">
        <v>57</v>
      </c>
      <c r="H9" s="62"/>
      <c r="I9" s="62"/>
      <c r="J9" s="62"/>
      <c r="K9" s="108">
        <v>2528</v>
      </c>
      <c r="L9" s="62"/>
      <c r="M9" s="10" t="s">
        <v>77</v>
      </c>
      <c r="N9" s="120">
        <v>2020</v>
      </c>
      <c r="O9" s="7"/>
    </row>
    <row r="10" spans="1:15" ht="18">
      <c r="A10" s="10" t="s">
        <v>6</v>
      </c>
      <c r="B10" s="62" t="s">
        <v>122</v>
      </c>
      <c r="C10" s="62"/>
      <c r="D10" s="62"/>
      <c r="E10" s="62"/>
      <c r="F10" s="62"/>
      <c r="G10" s="10" t="s">
        <v>58</v>
      </c>
      <c r="H10" s="62"/>
      <c r="I10" s="62"/>
      <c r="J10" s="62"/>
      <c r="K10" s="62"/>
      <c r="L10" s="62"/>
      <c r="M10" s="62"/>
      <c r="N10" s="62"/>
      <c r="O10" s="7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63"/>
    </row>
    <row r="12" spans="1:15">
      <c r="A12" s="18"/>
      <c r="B12" s="18" t="s">
        <v>29</v>
      </c>
      <c r="C12" s="18" t="s">
        <v>29</v>
      </c>
      <c r="D12" s="18" t="s">
        <v>43</v>
      </c>
      <c r="E12" s="18" t="s">
        <v>21</v>
      </c>
      <c r="F12" s="18"/>
      <c r="G12" s="18"/>
      <c r="H12" s="18"/>
      <c r="I12" s="18"/>
      <c r="J12" s="18"/>
      <c r="K12" s="18"/>
      <c r="L12" s="19"/>
      <c r="M12" s="19"/>
      <c r="N12" s="18"/>
      <c r="O12" s="63"/>
    </row>
    <row r="13" spans="1:15">
      <c r="A13" s="22"/>
      <c r="B13" s="23" t="s">
        <v>30</v>
      </c>
      <c r="C13" s="23" t="s">
        <v>124</v>
      </c>
      <c r="D13" s="23" t="s">
        <v>44</v>
      </c>
      <c r="E13" s="23" t="s">
        <v>48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63"/>
    </row>
    <row r="14" spans="1:15">
      <c r="A14" s="23" t="s">
        <v>8</v>
      </c>
      <c r="B14" s="23" t="s">
        <v>32</v>
      </c>
      <c r="C14" s="23" t="s">
        <v>125</v>
      </c>
      <c r="D14" s="23" t="s">
        <v>45</v>
      </c>
      <c r="E14" s="23" t="s">
        <v>30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132</v>
      </c>
      <c r="L14" s="27" t="s">
        <v>134</v>
      </c>
      <c r="M14" s="66"/>
      <c r="N14" s="23" t="s">
        <v>80</v>
      </c>
      <c r="O14" s="63"/>
    </row>
    <row r="15" spans="1:15">
      <c r="A15" s="23"/>
      <c r="B15" s="23" t="s">
        <v>123</v>
      </c>
      <c r="C15" s="23" t="s">
        <v>126</v>
      </c>
      <c r="D15" s="23" t="s">
        <v>32</v>
      </c>
      <c r="E15" s="23" t="s">
        <v>32</v>
      </c>
      <c r="F15" s="23" t="s">
        <v>55</v>
      </c>
      <c r="G15" s="23" t="s">
        <v>60</v>
      </c>
      <c r="H15" s="23" t="s">
        <v>127</v>
      </c>
      <c r="I15" s="22"/>
      <c r="J15" s="23"/>
      <c r="K15" s="23" t="s">
        <v>133</v>
      </c>
      <c r="L15" s="23" t="s">
        <v>133</v>
      </c>
      <c r="M15" s="23" t="s">
        <v>21</v>
      </c>
      <c r="N15" s="23" t="s">
        <v>135</v>
      </c>
      <c r="O15" s="63"/>
    </row>
    <row r="16" spans="1:15">
      <c r="A16" s="30" t="s">
        <v>9</v>
      </c>
      <c r="B16" s="110">
        <v>0</v>
      </c>
      <c r="C16" s="110">
        <f t="shared" ref="C16:C18" si="0">ROUND(L16/0.43+K16/0.48,0)</f>
        <v>0</v>
      </c>
      <c r="D16" s="110">
        <v>0</v>
      </c>
      <c r="E16" s="67">
        <f t="shared" ref="E16:E27" si="1">B16+C16-D16</f>
        <v>0</v>
      </c>
      <c r="F16" s="31"/>
      <c r="G16" s="31"/>
      <c r="H16" s="31"/>
      <c r="I16" s="31"/>
      <c r="J16" s="31"/>
      <c r="K16" s="110">
        <v>0</v>
      </c>
      <c r="L16" s="110">
        <v>0</v>
      </c>
      <c r="M16" s="32">
        <f t="shared" ref="M16:M27" si="2">SUM(K16:L16)</f>
        <v>0</v>
      </c>
      <c r="N16" s="30">
        <f>ROUND(+M16/$K$9,3)</f>
        <v>0</v>
      </c>
      <c r="O16" s="63"/>
    </row>
    <row r="17" spans="1:19">
      <c r="A17" s="30" t="s">
        <v>10</v>
      </c>
      <c r="B17" s="110">
        <v>0</v>
      </c>
      <c r="C17" s="110">
        <f t="shared" si="0"/>
        <v>0</v>
      </c>
      <c r="D17" s="110">
        <v>0</v>
      </c>
      <c r="E17" s="67">
        <f t="shared" si="1"/>
        <v>0</v>
      </c>
      <c r="F17" s="31"/>
      <c r="G17" s="31"/>
      <c r="H17" s="31"/>
      <c r="I17" s="31"/>
      <c r="J17" s="31"/>
      <c r="K17" s="110">
        <v>0</v>
      </c>
      <c r="L17" s="110">
        <v>0</v>
      </c>
      <c r="M17" s="32">
        <f t="shared" si="2"/>
        <v>0</v>
      </c>
      <c r="N17" s="30">
        <f>ROUND(+M17/$K$9,3)</f>
        <v>0</v>
      </c>
      <c r="O17" s="63"/>
    </row>
    <row r="18" spans="1:19">
      <c r="A18" s="30" t="s">
        <v>11</v>
      </c>
      <c r="B18" s="110">
        <v>0</v>
      </c>
      <c r="C18" s="110">
        <f t="shared" si="0"/>
        <v>0</v>
      </c>
      <c r="D18" s="110">
        <v>0</v>
      </c>
      <c r="E18" s="67">
        <f t="shared" si="1"/>
        <v>0</v>
      </c>
      <c r="F18" s="31"/>
      <c r="G18" s="31"/>
      <c r="H18" s="31"/>
      <c r="I18" s="31"/>
      <c r="J18" s="31"/>
      <c r="K18" s="110">
        <v>0</v>
      </c>
      <c r="L18" s="110">
        <v>0</v>
      </c>
      <c r="M18" s="32">
        <f t="shared" si="2"/>
        <v>0</v>
      </c>
      <c r="N18" s="30">
        <f>ROUND(+M18/$K$9,3)</f>
        <v>0</v>
      </c>
      <c r="O18" s="63"/>
    </row>
    <row r="19" spans="1:19">
      <c r="A19" s="30" t="s">
        <v>12</v>
      </c>
      <c r="B19" s="110">
        <v>0</v>
      </c>
      <c r="C19" s="110">
        <f>ROUND(L19/0.43+K19/0.48,0)</f>
        <v>0</v>
      </c>
      <c r="D19" s="110">
        <v>0</v>
      </c>
      <c r="E19" s="67">
        <f t="shared" si="1"/>
        <v>0</v>
      </c>
      <c r="F19" s="31"/>
      <c r="G19" s="31"/>
      <c r="H19" s="31"/>
      <c r="I19" s="31"/>
      <c r="J19" s="31"/>
      <c r="K19" s="110">
        <v>0</v>
      </c>
      <c r="L19" s="110">
        <v>0</v>
      </c>
      <c r="M19" s="32">
        <f t="shared" si="2"/>
        <v>0</v>
      </c>
      <c r="N19" s="30">
        <f t="shared" ref="N19:N27" si="3">ROUND(+M19/$K$9,3)</f>
        <v>0</v>
      </c>
      <c r="O19" s="63"/>
    </row>
    <row r="20" spans="1:19">
      <c r="A20" s="30" t="s">
        <v>13</v>
      </c>
      <c r="B20" s="110">
        <v>0</v>
      </c>
      <c r="C20" s="110">
        <f t="shared" ref="C20:C22" si="4">ROUND(L20/0.43+K20/0.48,0)</f>
        <v>0</v>
      </c>
      <c r="D20" s="110">
        <v>0</v>
      </c>
      <c r="E20" s="67">
        <f t="shared" si="1"/>
        <v>0</v>
      </c>
      <c r="F20" s="31"/>
      <c r="G20" s="31"/>
      <c r="H20" s="31"/>
      <c r="I20" s="31"/>
      <c r="J20" s="31"/>
      <c r="K20" s="110">
        <v>0</v>
      </c>
      <c r="L20" s="110">
        <v>0</v>
      </c>
      <c r="M20" s="32">
        <f t="shared" si="2"/>
        <v>0</v>
      </c>
      <c r="N20" s="30">
        <f t="shared" si="3"/>
        <v>0</v>
      </c>
      <c r="O20" s="63"/>
    </row>
    <row r="21" spans="1:19">
      <c r="A21" s="30" t="s">
        <v>14</v>
      </c>
      <c r="B21" s="110">
        <v>0</v>
      </c>
      <c r="C21" s="110">
        <f t="shared" si="4"/>
        <v>447</v>
      </c>
      <c r="D21" s="110">
        <v>0</v>
      </c>
      <c r="E21" s="67">
        <f t="shared" si="1"/>
        <v>447</v>
      </c>
      <c r="F21" s="31"/>
      <c r="G21" s="31"/>
      <c r="H21" s="31"/>
      <c r="I21" s="31"/>
      <c r="J21" s="31"/>
      <c r="K21" s="110">
        <v>0</v>
      </c>
      <c r="L21" s="110">
        <f>ROUND(S21,0)</f>
        <v>192</v>
      </c>
      <c r="M21" s="32">
        <f t="shared" si="2"/>
        <v>192</v>
      </c>
      <c r="N21" s="30">
        <f t="shared" si="3"/>
        <v>7.5999999999999998E-2</v>
      </c>
      <c r="O21" s="63"/>
      <c r="S21" s="1">
        <v>192.4</v>
      </c>
    </row>
    <row r="22" spans="1:19">
      <c r="A22" s="30" t="s">
        <v>15</v>
      </c>
      <c r="B22" s="110">
        <v>0</v>
      </c>
      <c r="C22" s="110">
        <f t="shared" si="4"/>
        <v>637</v>
      </c>
      <c r="D22" s="110">
        <v>0</v>
      </c>
      <c r="E22" s="67">
        <f t="shared" si="1"/>
        <v>637</v>
      </c>
      <c r="F22" s="31"/>
      <c r="G22" s="31"/>
      <c r="H22" s="31"/>
      <c r="I22" s="31"/>
      <c r="J22" s="31"/>
      <c r="K22" s="110">
        <v>0</v>
      </c>
      <c r="L22" s="110">
        <f t="shared" ref="K22:L27" si="5">ROUND(S22,0)</f>
        <v>274</v>
      </c>
      <c r="M22" s="32">
        <f t="shared" si="2"/>
        <v>274</v>
      </c>
      <c r="N22" s="30">
        <f t="shared" si="3"/>
        <v>0.108</v>
      </c>
      <c r="O22" s="63"/>
      <c r="S22" s="1">
        <v>273.95999999999998</v>
      </c>
    </row>
    <row r="23" spans="1:19">
      <c r="A23" s="30" t="s">
        <v>16</v>
      </c>
      <c r="B23" s="110">
        <v>0</v>
      </c>
      <c r="C23" s="110">
        <f>ROUND(L23/0.43+K23/0.48,0)</f>
        <v>586</v>
      </c>
      <c r="D23" s="110">
        <v>0</v>
      </c>
      <c r="E23" s="67">
        <f t="shared" si="1"/>
        <v>586</v>
      </c>
      <c r="F23" s="31"/>
      <c r="G23" s="31"/>
      <c r="H23" s="31"/>
      <c r="I23" s="31"/>
      <c r="J23" s="31"/>
      <c r="K23" s="110">
        <v>0</v>
      </c>
      <c r="L23" s="110">
        <f t="shared" si="5"/>
        <v>252</v>
      </c>
      <c r="M23" s="32">
        <f t="shared" si="2"/>
        <v>252</v>
      </c>
      <c r="N23" s="30">
        <f t="shared" si="3"/>
        <v>0.1</v>
      </c>
      <c r="O23" s="63"/>
      <c r="S23" s="1">
        <v>252.04</v>
      </c>
    </row>
    <row r="24" spans="1:19">
      <c r="A24" s="30" t="s">
        <v>17</v>
      </c>
      <c r="B24" s="110">
        <v>0</v>
      </c>
      <c r="C24" s="110">
        <f t="shared" ref="C24:C26" si="6">ROUND(L24/0.43+K24/0.48,0)</f>
        <v>607</v>
      </c>
      <c r="D24" s="110">
        <v>0</v>
      </c>
      <c r="E24" s="67">
        <f t="shared" si="1"/>
        <v>607</v>
      </c>
      <c r="F24" s="31"/>
      <c r="G24" s="31"/>
      <c r="H24" s="31"/>
      <c r="I24" s="31"/>
      <c r="J24" s="31"/>
      <c r="K24" s="110">
        <v>0</v>
      </c>
      <c r="L24" s="110">
        <f t="shared" si="5"/>
        <v>261</v>
      </c>
      <c r="M24" s="32">
        <f t="shared" si="2"/>
        <v>261</v>
      </c>
      <c r="N24" s="30">
        <f t="shared" si="3"/>
        <v>0.10299999999999999</v>
      </c>
      <c r="O24" s="63"/>
      <c r="S24" s="1">
        <v>261.33999999999997</v>
      </c>
    </row>
    <row r="25" spans="1:19">
      <c r="A25" s="30" t="s">
        <v>18</v>
      </c>
      <c r="B25" s="110">
        <v>0</v>
      </c>
      <c r="C25" s="110">
        <f t="shared" si="6"/>
        <v>474</v>
      </c>
      <c r="D25" s="110">
        <v>0</v>
      </c>
      <c r="E25" s="67">
        <f t="shared" si="1"/>
        <v>474</v>
      </c>
      <c r="F25" s="31"/>
      <c r="G25" s="31"/>
      <c r="H25" s="31"/>
      <c r="I25" s="31"/>
      <c r="J25" s="31"/>
      <c r="K25" s="110">
        <f t="shared" si="5"/>
        <v>12</v>
      </c>
      <c r="L25" s="110">
        <f t="shared" si="5"/>
        <v>193</v>
      </c>
      <c r="M25" s="32">
        <f t="shared" si="2"/>
        <v>205</v>
      </c>
      <c r="N25" s="30">
        <f t="shared" si="3"/>
        <v>8.1000000000000003E-2</v>
      </c>
      <c r="O25" s="63"/>
      <c r="R25" s="1">
        <v>12.38</v>
      </c>
      <c r="S25" s="1">
        <v>193.02</v>
      </c>
    </row>
    <row r="26" spans="1:19">
      <c r="A26" s="30" t="s">
        <v>19</v>
      </c>
      <c r="B26" s="110">
        <v>0</v>
      </c>
      <c r="C26" s="110">
        <f t="shared" si="6"/>
        <v>53</v>
      </c>
      <c r="D26" s="110">
        <v>0</v>
      </c>
      <c r="E26" s="67">
        <f t="shared" si="1"/>
        <v>53</v>
      </c>
      <c r="F26" s="31"/>
      <c r="G26" s="31"/>
      <c r="H26" s="31"/>
      <c r="I26" s="31"/>
      <c r="J26" s="31"/>
      <c r="K26" s="110">
        <v>0</v>
      </c>
      <c r="L26" s="110">
        <f t="shared" si="5"/>
        <v>23</v>
      </c>
      <c r="M26" s="32">
        <f t="shared" si="2"/>
        <v>23</v>
      </c>
      <c r="N26" s="30">
        <f t="shared" si="3"/>
        <v>8.9999999999999993E-3</v>
      </c>
      <c r="O26" s="63"/>
      <c r="S26" s="1">
        <v>22.98</v>
      </c>
    </row>
    <row r="27" spans="1:19">
      <c r="A27" s="30" t="s">
        <v>20</v>
      </c>
      <c r="B27" s="110">
        <v>0</v>
      </c>
      <c r="C27" s="110">
        <f>ROUND(L27/0.43+K27/0.48,0)</f>
        <v>0</v>
      </c>
      <c r="D27" s="110">
        <v>0</v>
      </c>
      <c r="E27" s="67">
        <f t="shared" si="1"/>
        <v>0</v>
      </c>
      <c r="F27" s="31"/>
      <c r="G27" s="31"/>
      <c r="H27" s="31"/>
      <c r="I27" s="31"/>
      <c r="J27" s="31"/>
      <c r="K27" s="110">
        <v>0</v>
      </c>
      <c r="L27" s="110">
        <f t="shared" si="5"/>
        <v>0</v>
      </c>
      <c r="M27" s="32">
        <f t="shared" si="2"/>
        <v>0</v>
      </c>
      <c r="N27" s="30">
        <f t="shared" si="3"/>
        <v>0</v>
      </c>
      <c r="O27" s="63"/>
    </row>
    <row r="28" spans="1:19" ht="15.75" thickBot="1">
      <c r="A28" s="30" t="s">
        <v>21</v>
      </c>
      <c r="B28" s="110">
        <v>0</v>
      </c>
      <c r="C28" s="32">
        <f>SUM(C16:C27)</f>
        <v>2804</v>
      </c>
      <c r="D28" s="32">
        <f>SUM(D16:D27)</f>
        <v>0</v>
      </c>
      <c r="E28" s="32">
        <f>SUM(E16:E27)</f>
        <v>2804</v>
      </c>
      <c r="F28" s="32"/>
      <c r="G28" s="32"/>
      <c r="H28" s="32"/>
      <c r="I28" s="32"/>
      <c r="J28" s="32"/>
      <c r="K28" s="32">
        <f>SUM(K16:K27)</f>
        <v>12</v>
      </c>
      <c r="L28" s="32">
        <f>SUM(L16:L27)</f>
        <v>1195</v>
      </c>
      <c r="M28" s="32">
        <f>SUM(M16:M27)</f>
        <v>1207</v>
      </c>
      <c r="N28" s="107">
        <f>SUM(N16:N27)</f>
        <v>0.47700000000000004</v>
      </c>
      <c r="O28" s="63"/>
    </row>
    <row r="29" spans="1:19" ht="15.75" thickTop="1">
      <c r="A29" s="15" t="s">
        <v>121</v>
      </c>
      <c r="B29" s="15"/>
      <c r="C29" s="15"/>
      <c r="D29" s="15"/>
      <c r="E29" s="68"/>
      <c r="F29" s="36"/>
      <c r="G29" s="36"/>
      <c r="H29" s="36"/>
      <c r="I29" s="36"/>
      <c r="J29" s="36"/>
      <c r="K29" s="36">
        <f>M29-L29</f>
        <v>1.0000000000000009E-2</v>
      </c>
      <c r="L29" s="36">
        <f>ROUND(L28/$K$9,2)</f>
        <v>0.47</v>
      </c>
      <c r="M29" s="36">
        <f>ROUND(M28/$K$9,2)</f>
        <v>0.48</v>
      </c>
      <c r="N29" s="22"/>
      <c r="O29" s="63"/>
    </row>
    <row r="30" spans="1:19">
      <c r="A30" s="30" t="s">
        <v>23</v>
      </c>
      <c r="B30" s="30"/>
      <c r="C30" s="30"/>
      <c r="D30" s="30"/>
      <c r="E30" s="69"/>
      <c r="F30" s="39"/>
      <c r="G30" s="39"/>
      <c r="H30" s="39"/>
      <c r="I30" s="39"/>
      <c r="J30" s="39"/>
      <c r="K30" s="39">
        <f>ROUND(M30-L30,1)</f>
        <v>0.4</v>
      </c>
      <c r="L30" s="39">
        <f>ROUND(+L28/$E$28*100,1)</f>
        <v>42.6</v>
      </c>
      <c r="M30" s="39">
        <f>ROUND(+M28/$E$28*100,1)</f>
        <v>43</v>
      </c>
      <c r="N30" s="30"/>
      <c r="O30" s="63"/>
    </row>
    <row r="31" spans="1:19">
      <c r="A31" s="19" t="s">
        <v>24</v>
      </c>
      <c r="B31" s="19" t="s">
        <v>33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9">
      <c r="A32" s="43"/>
      <c r="B32" s="24" t="s">
        <v>34</v>
      </c>
      <c r="C32" s="3"/>
      <c r="D32" s="3"/>
      <c r="E32" s="3"/>
      <c r="F32" s="3"/>
      <c r="G32" s="3"/>
      <c r="H32" s="24" t="s">
        <v>128</v>
      </c>
      <c r="I32" s="3"/>
      <c r="J32" s="3"/>
      <c r="K32" s="3"/>
      <c r="L32" s="3"/>
      <c r="M32" s="3"/>
      <c r="N32" s="3"/>
    </row>
    <row r="33" spans="1:15">
      <c r="A33" s="43"/>
      <c r="B33" s="24" t="s">
        <v>35</v>
      </c>
      <c r="C33" s="3"/>
      <c r="D33" s="3"/>
      <c r="E33" s="3"/>
      <c r="F33" s="3"/>
      <c r="G33" s="3"/>
      <c r="H33" s="24" t="s">
        <v>129</v>
      </c>
      <c r="I33" s="3"/>
      <c r="J33" s="3"/>
      <c r="K33" s="3"/>
      <c r="L33" s="3"/>
      <c r="M33" s="3"/>
      <c r="N33" s="3"/>
    </row>
    <row r="34" spans="1:15">
      <c r="A34" s="43"/>
      <c r="B34" s="24" t="s">
        <v>36</v>
      </c>
      <c r="C34" s="3"/>
      <c r="D34" s="3"/>
      <c r="E34" s="3"/>
      <c r="F34" s="3"/>
      <c r="G34" s="3"/>
      <c r="H34" s="24" t="s">
        <v>130</v>
      </c>
      <c r="I34" s="3"/>
      <c r="J34" s="3"/>
      <c r="K34" s="3"/>
      <c r="L34" s="3"/>
      <c r="M34" s="3"/>
      <c r="N34" s="3"/>
    </row>
    <row r="35" spans="1:15">
      <c r="A35" s="43" t="s">
        <v>0</v>
      </c>
      <c r="B35" s="2"/>
      <c r="C35" s="2"/>
      <c r="D35" s="2"/>
      <c r="E35" s="2"/>
      <c r="F35" s="2"/>
      <c r="G35" s="2"/>
      <c r="H35" s="24" t="s">
        <v>0</v>
      </c>
      <c r="I35" s="24"/>
      <c r="J35" s="3"/>
      <c r="K35" s="3"/>
      <c r="L35" s="3"/>
      <c r="M35" s="3"/>
      <c r="N35" s="3"/>
      <c r="O35" s="44"/>
    </row>
    <row r="36" spans="1:15">
      <c r="A36" s="2"/>
      <c r="B36" s="2"/>
      <c r="C36" s="2" t="s">
        <v>0</v>
      </c>
      <c r="D36" s="2" t="s">
        <v>0</v>
      </c>
      <c r="E36" s="56" t="s">
        <v>0</v>
      </c>
      <c r="F36" s="2"/>
      <c r="G36" s="2"/>
      <c r="H36" s="2"/>
      <c r="I36" s="2"/>
      <c r="J36" s="2"/>
      <c r="K36" s="2"/>
      <c r="L36" s="2"/>
      <c r="M36" s="2"/>
      <c r="N36" s="3"/>
      <c r="O36" s="7"/>
    </row>
    <row r="37" spans="1:15">
      <c r="A37" s="2"/>
      <c r="B37" s="2"/>
      <c r="C37" s="2" t="s">
        <v>0</v>
      </c>
      <c r="D37" s="2" t="s">
        <v>0</v>
      </c>
      <c r="E37" s="57" t="s">
        <v>0</v>
      </c>
      <c r="F37" s="2"/>
      <c r="G37" s="2"/>
      <c r="H37" s="2"/>
      <c r="I37" s="2"/>
      <c r="J37" s="2"/>
      <c r="K37" s="2"/>
      <c r="L37" s="2"/>
      <c r="M37" s="2"/>
      <c r="N37" s="3"/>
      <c r="O37" s="7"/>
    </row>
    <row r="38" spans="1:15">
      <c r="A38" s="7"/>
      <c r="B38" s="7"/>
      <c r="C38" s="9" t="s">
        <v>0</v>
      </c>
      <c r="D38" s="9" t="s">
        <v>0</v>
      </c>
      <c r="E38" s="70" t="s">
        <v>0</v>
      </c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23.25">
      <c r="F39" s="186"/>
    </row>
    <row r="45" spans="1:15">
      <c r="B45" s="1" t="s">
        <v>132</v>
      </c>
      <c r="C45" s="1" t="s">
        <v>186</v>
      </c>
    </row>
    <row r="46" spans="1:15">
      <c r="B46" s="212">
        <v>0.48</v>
      </c>
      <c r="C46" s="212">
        <v>0.43</v>
      </c>
    </row>
  </sheetData>
  <phoneticPr fontId="0" type="noConversion"/>
  <pageMargins left="0.5" right="0.5" top="0.5" bottom="0.5" header="0" footer="0"/>
  <pageSetup scale="75" orientation="landscape" r:id="rId1"/>
  <headerFooter alignWithMargins="0"/>
  <rowBreaks count="1" manualBreakCount="1">
    <brk id="34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O38"/>
  <sheetViews>
    <sheetView showOutlineSymbols="0" zoomScale="87" zoomScaleNormal="87" workbookViewId="0">
      <selection activeCell="B28" sqref="B28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3" width="7.6640625" style="78" customWidth="1"/>
    <col min="14" max="14" width="8.554687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151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168</v>
      </c>
      <c r="C8" s="74"/>
      <c r="D8" s="74"/>
      <c r="E8" s="74"/>
      <c r="F8" s="74"/>
      <c r="G8" s="82" t="s">
        <v>56</v>
      </c>
      <c r="H8" s="74"/>
      <c r="I8" s="74" t="s">
        <v>120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34110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169</v>
      </c>
      <c r="C10" s="84"/>
      <c r="D10" s="84"/>
      <c r="E10" s="84"/>
      <c r="F10" s="84"/>
      <c r="G10" s="83" t="s">
        <v>58</v>
      </c>
      <c r="H10" s="84"/>
      <c r="I10" s="84" t="s">
        <v>0</v>
      </c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172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170</v>
      </c>
      <c r="C14" s="89" t="s">
        <v>171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54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4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SUM(K16:L16)</f>
        <v>0</v>
      </c>
      <c r="N16" s="71">
        <f t="shared" ref="N16:N28" si="4">ROUND(+M16/$K$9,3)</f>
        <v>0</v>
      </c>
      <c r="O16" s="85"/>
    </row>
    <row r="17" spans="1:15">
      <c r="A17" s="71" t="s">
        <v>10</v>
      </c>
      <c r="B17" s="111">
        <v>0</v>
      </c>
      <c r="C17" s="111">
        <v>0</v>
      </c>
      <c r="D17" s="114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>
        <f t="shared" si="4"/>
        <v>0</v>
      </c>
      <c r="O17" s="85"/>
    </row>
    <row r="18" spans="1:15">
      <c r="A18" s="71" t="s">
        <v>11</v>
      </c>
      <c r="B18" s="111">
        <v>0</v>
      </c>
      <c r="C18" s="111">
        <v>0</v>
      </c>
      <c r="D18" s="114">
        <v>0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>
        <f t="shared" si="4"/>
        <v>0</v>
      </c>
      <c r="O18" s="85"/>
    </row>
    <row r="19" spans="1:15">
      <c r="A19" s="71" t="s">
        <v>12</v>
      </c>
      <c r="B19" s="111">
        <v>2678</v>
      </c>
      <c r="C19" s="111">
        <v>0</v>
      </c>
      <c r="D19" s="114">
        <v>2598</v>
      </c>
      <c r="E19" s="32">
        <f t="shared" si="0"/>
        <v>80</v>
      </c>
      <c r="F19" s="111">
        <v>0</v>
      </c>
      <c r="G19" s="32">
        <f t="shared" si="1"/>
        <v>53</v>
      </c>
      <c r="H19" s="111">
        <v>27</v>
      </c>
      <c r="I19" s="111">
        <v>0</v>
      </c>
      <c r="J19" s="32">
        <f t="shared" si="2"/>
        <v>24</v>
      </c>
      <c r="K19" s="111">
        <v>0</v>
      </c>
      <c r="L19" s="111">
        <v>3</v>
      </c>
      <c r="M19" s="32">
        <f t="shared" si="3"/>
        <v>3</v>
      </c>
      <c r="N19" s="71">
        <f t="shared" si="4"/>
        <v>0</v>
      </c>
      <c r="O19" s="85"/>
    </row>
    <row r="20" spans="1:15">
      <c r="A20" s="71" t="s">
        <v>13</v>
      </c>
      <c r="B20" s="111">
        <v>19049</v>
      </c>
      <c r="C20" s="111">
        <v>2609</v>
      </c>
      <c r="D20" s="114">
        <v>18969</v>
      </c>
      <c r="E20" s="32">
        <f t="shared" si="0"/>
        <v>2689</v>
      </c>
      <c r="F20" s="111">
        <v>1480</v>
      </c>
      <c r="G20" s="32">
        <f t="shared" si="1"/>
        <v>569</v>
      </c>
      <c r="H20" s="111">
        <v>637</v>
      </c>
      <c r="I20" s="111">
        <v>158</v>
      </c>
      <c r="J20" s="32">
        <f t="shared" si="2"/>
        <v>473</v>
      </c>
      <c r="K20" s="111">
        <v>3</v>
      </c>
      <c r="L20" s="111">
        <v>6</v>
      </c>
      <c r="M20" s="32">
        <f t="shared" si="3"/>
        <v>9</v>
      </c>
      <c r="N20" s="71">
        <f t="shared" si="4"/>
        <v>0</v>
      </c>
      <c r="O20" s="85"/>
    </row>
    <row r="21" spans="1:15">
      <c r="A21" s="71" t="s">
        <v>14</v>
      </c>
      <c r="B21" s="111">
        <v>20900</v>
      </c>
      <c r="C21" s="111">
        <v>992</v>
      </c>
      <c r="D21" s="114">
        <v>16346</v>
      </c>
      <c r="E21" s="32">
        <f t="shared" si="0"/>
        <v>5546</v>
      </c>
      <c r="F21" s="111">
        <v>2041</v>
      </c>
      <c r="G21" s="32">
        <f t="shared" si="1"/>
        <v>1061</v>
      </c>
      <c r="H21" s="111">
        <v>1935</v>
      </c>
      <c r="I21" s="111">
        <v>358</v>
      </c>
      <c r="J21" s="32">
        <f t="shared" si="2"/>
        <v>347</v>
      </c>
      <c r="K21" s="111">
        <v>509</v>
      </c>
      <c r="L21" s="111">
        <v>1230</v>
      </c>
      <c r="M21" s="32">
        <f t="shared" si="3"/>
        <v>1739</v>
      </c>
      <c r="N21" s="71">
        <f t="shared" si="4"/>
        <v>5.0999999999999997E-2</v>
      </c>
      <c r="O21" s="85"/>
    </row>
    <row r="22" spans="1:15">
      <c r="A22" s="71" t="s">
        <v>15</v>
      </c>
      <c r="B22" s="111">
        <v>27376</v>
      </c>
      <c r="C22" s="111">
        <v>0</v>
      </c>
      <c r="D22" s="114">
        <v>16088</v>
      </c>
      <c r="E22" s="32">
        <f t="shared" si="0"/>
        <v>11288</v>
      </c>
      <c r="F22" s="111">
        <v>2732</v>
      </c>
      <c r="G22" s="32">
        <f t="shared" si="1"/>
        <v>1815</v>
      </c>
      <c r="H22" s="111">
        <v>4899</v>
      </c>
      <c r="I22" s="111">
        <v>370</v>
      </c>
      <c r="J22" s="32">
        <f t="shared" si="2"/>
        <v>318</v>
      </c>
      <c r="K22" s="111">
        <v>1842</v>
      </c>
      <c r="L22" s="111">
        <v>4211</v>
      </c>
      <c r="M22" s="32">
        <f t="shared" si="3"/>
        <v>6053</v>
      </c>
      <c r="N22" s="71">
        <f t="shared" si="4"/>
        <v>0.17699999999999999</v>
      </c>
      <c r="O22" s="85"/>
    </row>
    <row r="23" spans="1:15">
      <c r="A23" s="71" t="s">
        <v>16</v>
      </c>
      <c r="B23" s="111">
        <v>31178</v>
      </c>
      <c r="C23" s="111">
        <v>0</v>
      </c>
      <c r="D23" s="114">
        <v>12679</v>
      </c>
      <c r="E23" s="32">
        <f t="shared" si="0"/>
        <v>18499</v>
      </c>
      <c r="F23" s="111">
        <v>2338</v>
      </c>
      <c r="G23" s="32">
        <f t="shared" si="1"/>
        <v>2325</v>
      </c>
      <c r="H23" s="111">
        <v>10409</v>
      </c>
      <c r="I23" s="111">
        <v>344</v>
      </c>
      <c r="J23" s="32">
        <f t="shared" si="2"/>
        <v>355</v>
      </c>
      <c r="K23" s="111">
        <v>3427</v>
      </c>
      <c r="L23" s="111">
        <v>9710</v>
      </c>
      <c r="M23" s="32">
        <f t="shared" si="3"/>
        <v>13137</v>
      </c>
      <c r="N23" s="71">
        <f t="shared" si="4"/>
        <v>0.38500000000000001</v>
      </c>
      <c r="O23" s="85"/>
    </row>
    <row r="24" spans="1:15">
      <c r="A24" s="71" t="s">
        <v>17</v>
      </c>
      <c r="B24" s="111">
        <v>10420</v>
      </c>
      <c r="C24" s="111">
        <v>0</v>
      </c>
      <c r="D24" s="114">
        <v>4919</v>
      </c>
      <c r="E24" s="32">
        <f t="shared" si="0"/>
        <v>5501</v>
      </c>
      <c r="F24" s="111">
        <v>1662</v>
      </c>
      <c r="G24" s="32">
        <f t="shared" si="1"/>
        <v>211</v>
      </c>
      <c r="H24" s="111">
        <v>2685</v>
      </c>
      <c r="I24" s="111">
        <v>206</v>
      </c>
      <c r="J24" s="32">
        <f t="shared" si="2"/>
        <v>153</v>
      </c>
      <c r="K24" s="111">
        <v>943</v>
      </c>
      <c r="L24" s="111">
        <v>2326</v>
      </c>
      <c r="M24" s="32">
        <f t="shared" si="3"/>
        <v>3269</v>
      </c>
      <c r="N24" s="71">
        <f t="shared" si="4"/>
        <v>9.6000000000000002E-2</v>
      </c>
      <c r="O24" s="85"/>
    </row>
    <row r="25" spans="1:15">
      <c r="A25" s="71" t="s">
        <v>18</v>
      </c>
      <c r="B25" s="111">
        <v>0</v>
      </c>
      <c r="C25" s="111">
        <v>0</v>
      </c>
      <c r="D25" s="114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>
        <f t="shared" si="4"/>
        <v>0</v>
      </c>
      <c r="O25" s="85"/>
    </row>
    <row r="26" spans="1:15">
      <c r="A26" s="71" t="s">
        <v>19</v>
      </c>
      <c r="B26" s="111">
        <v>0</v>
      </c>
      <c r="C26" s="111">
        <v>0</v>
      </c>
      <c r="D26" s="114">
        <f>SUM(B26:C26)</f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>
        <f t="shared" si="4"/>
        <v>0</v>
      </c>
      <c r="O26" s="85"/>
    </row>
    <row r="27" spans="1:15">
      <c r="A27" s="71" t="s">
        <v>20</v>
      </c>
      <c r="B27" s="111">
        <v>0</v>
      </c>
      <c r="C27" s="111">
        <v>0</v>
      </c>
      <c r="D27" s="114">
        <f>SUM(B27:C27)</f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>
        <f t="shared" si="4"/>
        <v>0</v>
      </c>
      <c r="O27" s="85"/>
    </row>
    <row r="28" spans="1:15" ht="15.75" thickBot="1">
      <c r="A28" s="71" t="s">
        <v>21</v>
      </c>
      <c r="B28" s="32">
        <f>SUM(B16:B27)</f>
        <v>111601</v>
      </c>
      <c r="C28" s="32">
        <f>SUM(C16:C27)</f>
        <v>3601</v>
      </c>
      <c r="D28" s="32">
        <f>SUM(D16:D27)</f>
        <v>71599</v>
      </c>
      <c r="E28" s="32">
        <f>SUM(E16:E27)</f>
        <v>43603</v>
      </c>
      <c r="F28" s="32">
        <f>SUM(F16:F27)</f>
        <v>10253</v>
      </c>
      <c r="G28" s="124">
        <f t="shared" si="1"/>
        <v>6034</v>
      </c>
      <c r="H28" s="32">
        <f>SUM(H16:H27)</f>
        <v>20592</v>
      </c>
      <c r="I28" s="32">
        <f>SUM(I16:I27)</f>
        <v>1436</v>
      </c>
      <c r="J28" s="32">
        <f t="shared" si="2"/>
        <v>1670</v>
      </c>
      <c r="K28" s="32">
        <f>SUM(K16:K27)</f>
        <v>6724</v>
      </c>
      <c r="L28" s="32">
        <f>SUM(L16:L27)</f>
        <v>17486</v>
      </c>
      <c r="M28" s="32">
        <f>SUM(M16:M27)</f>
        <v>24210</v>
      </c>
      <c r="N28" s="131">
        <f t="shared" si="4"/>
        <v>0.71</v>
      </c>
      <c r="O28" s="85"/>
    </row>
    <row r="29" spans="1:15" ht="15.75" thickTop="1">
      <c r="A29" s="72" t="s">
        <v>22</v>
      </c>
      <c r="B29" s="72" t="s">
        <v>0</v>
      </c>
      <c r="C29" s="72" t="s">
        <v>0</v>
      </c>
      <c r="D29" s="72" t="s">
        <v>0</v>
      </c>
      <c r="E29" s="72">
        <f t="shared" ref="E29:M29" si="5">ROUND(+E28/$K$9,2)</f>
        <v>1.28</v>
      </c>
      <c r="F29" s="72">
        <f t="shared" si="5"/>
        <v>0.3</v>
      </c>
      <c r="G29" s="72">
        <f t="shared" si="5"/>
        <v>0.18</v>
      </c>
      <c r="H29" s="72">
        <f t="shared" si="5"/>
        <v>0.6</v>
      </c>
      <c r="I29" s="72">
        <f t="shared" si="5"/>
        <v>0.04</v>
      </c>
      <c r="J29" s="72">
        <f t="shared" si="5"/>
        <v>0.05</v>
      </c>
      <c r="K29" s="72">
        <f t="shared" si="5"/>
        <v>0.2</v>
      </c>
      <c r="L29" s="72">
        <f t="shared" si="5"/>
        <v>0.51</v>
      </c>
      <c r="M29" s="72">
        <f t="shared" si="5"/>
        <v>0.71</v>
      </c>
      <c r="N29" s="72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6">E28/$E$28*100</f>
        <v>100</v>
      </c>
      <c r="F30" s="39">
        <f t="shared" si="6"/>
        <v>23.51443708001743</v>
      </c>
      <c r="G30" s="39">
        <f t="shared" si="6"/>
        <v>13.838497351099695</v>
      </c>
      <c r="H30" s="39">
        <f t="shared" si="6"/>
        <v>47.226108295300783</v>
      </c>
      <c r="I30" s="39">
        <f t="shared" si="6"/>
        <v>3.2933513749053964</v>
      </c>
      <c r="J30" s="39">
        <f t="shared" si="6"/>
        <v>3.8300116964429054</v>
      </c>
      <c r="K30" s="39">
        <f t="shared" si="6"/>
        <v>15.420957273582092</v>
      </c>
      <c r="L30" s="39">
        <f t="shared" si="6"/>
        <v>40.102745223952482</v>
      </c>
      <c r="M30" s="39">
        <f t="shared" si="6"/>
        <v>55.523702497534579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102" t="s">
        <v>173</v>
      </c>
      <c r="J36" s="103"/>
      <c r="K36" s="103"/>
      <c r="L36" s="103"/>
      <c r="M36" s="74"/>
      <c r="N36" s="74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  <c r="O37" s="77"/>
    </row>
    <row r="38" spans="1:15">
      <c r="A38" s="77"/>
      <c r="C38" s="104" t="s">
        <v>0</v>
      </c>
      <c r="D38" s="104" t="s">
        <v>0</v>
      </c>
      <c r="E38" s="104" t="s">
        <v>0</v>
      </c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6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O37"/>
  <sheetViews>
    <sheetView showOutlineSymbols="0" zoomScale="87" zoomScaleNormal="87" workbookViewId="0">
      <selection activeCell="U37" sqref="U37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5" width="8.6640625" style="1" customWidth="1"/>
    <col min="6" max="6" width="8.77734375" style="1" customWidth="1"/>
    <col min="7" max="7" width="8.88671875" style="1" customWidth="1"/>
    <col min="8" max="8" width="8.33203125" style="1" customWidth="1"/>
    <col min="9" max="10" width="7.6640625" style="1" customWidth="1"/>
    <col min="11" max="11" width="8.109375" style="1" customWidth="1"/>
    <col min="12" max="12" width="7.6640625" style="1" customWidth="1"/>
    <col min="13" max="13" width="9.109375" style="1" customWidth="1"/>
    <col min="14" max="14" width="8.5546875" style="1" customWidth="1"/>
    <col min="15" max="15" width="4.77734375" style="1" customWidth="1"/>
    <col min="16" max="16384" width="9.6640625" style="1"/>
  </cols>
  <sheetData>
    <row r="1" spans="1:15" ht="15.75">
      <c r="A1" s="4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8">
      <c r="A2" s="4" t="s">
        <v>2</v>
      </c>
      <c r="B2" s="3"/>
      <c r="C2" s="3"/>
      <c r="D2" s="3"/>
      <c r="E2" s="3"/>
      <c r="F2" s="5" t="s">
        <v>49</v>
      </c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3</v>
      </c>
      <c r="B3" s="3"/>
      <c r="C3" s="3"/>
      <c r="D3" s="3"/>
      <c r="E3" s="3"/>
      <c r="F3" s="5" t="s">
        <v>50</v>
      </c>
      <c r="G3" s="3"/>
      <c r="H3" s="3"/>
      <c r="I3" s="3"/>
      <c r="J3" s="3"/>
      <c r="K3" s="3"/>
      <c r="L3" s="152"/>
      <c r="M3" s="3"/>
      <c r="N3" s="3"/>
    </row>
    <row r="4" spans="1:15" ht="18">
      <c r="A4" s="3"/>
      <c r="B4" s="3"/>
      <c r="C4" s="3"/>
      <c r="D4" s="3"/>
      <c r="E4" s="3"/>
      <c r="F4" s="5" t="s">
        <v>51</v>
      </c>
      <c r="G4" s="3"/>
      <c r="H4" s="3"/>
      <c r="I4" s="3"/>
      <c r="J4" s="3"/>
      <c r="K4" s="3"/>
      <c r="L4" s="3"/>
      <c r="M4" s="3"/>
      <c r="N4" s="3"/>
    </row>
    <row r="5" spans="1:15" ht="30">
      <c r="A5" s="3"/>
      <c r="B5" s="3"/>
      <c r="C5" s="3"/>
      <c r="D5" s="6" t="s">
        <v>41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7"/>
    </row>
    <row r="7" spans="1:15" ht="18">
      <c r="A7" s="8" t="s">
        <v>4</v>
      </c>
      <c r="B7" s="2" t="s">
        <v>116</v>
      </c>
      <c r="C7" s="2"/>
      <c r="D7" s="2"/>
      <c r="E7" s="2"/>
      <c r="F7" s="2"/>
      <c r="G7" s="8" t="s">
        <v>56</v>
      </c>
      <c r="H7" s="2"/>
      <c r="I7" s="2" t="s">
        <v>120</v>
      </c>
      <c r="J7" s="2"/>
      <c r="K7" s="2"/>
      <c r="L7" s="2"/>
      <c r="M7" s="2"/>
      <c r="N7" s="2"/>
      <c r="O7" s="7"/>
    </row>
    <row r="8" spans="1:15" ht="18">
      <c r="A8" s="10" t="s">
        <v>5</v>
      </c>
      <c r="B8" s="11" t="s">
        <v>26</v>
      </c>
      <c r="C8" s="11"/>
      <c r="D8" s="11"/>
      <c r="E8" s="11"/>
      <c r="F8" s="11"/>
      <c r="G8" s="10" t="s">
        <v>57</v>
      </c>
      <c r="H8" s="11"/>
      <c r="I8" s="11"/>
      <c r="J8" s="11"/>
      <c r="K8" s="108">
        <v>21016</v>
      </c>
      <c r="L8" s="11"/>
      <c r="M8" s="10" t="s">
        <v>77</v>
      </c>
      <c r="N8" s="120">
        <v>2020</v>
      </c>
      <c r="O8" s="7"/>
    </row>
    <row r="9" spans="1:15" ht="18">
      <c r="A9" s="10" t="s">
        <v>6</v>
      </c>
      <c r="B9" s="11" t="s">
        <v>117</v>
      </c>
      <c r="C9" s="11"/>
      <c r="D9" s="11"/>
      <c r="E9" s="11"/>
      <c r="F9" s="11"/>
      <c r="G9" s="10" t="s">
        <v>58</v>
      </c>
      <c r="H9" s="11"/>
      <c r="I9" s="11" t="s">
        <v>0</v>
      </c>
      <c r="J9" s="11"/>
      <c r="K9" s="11"/>
      <c r="L9" s="11"/>
      <c r="M9" s="11"/>
      <c r="N9" s="11"/>
      <c r="O9" s="7"/>
    </row>
    <row r="10" spans="1:15">
      <c r="A10" s="15" t="s">
        <v>7</v>
      </c>
      <c r="B10" s="15" t="s">
        <v>28</v>
      </c>
      <c r="C10" s="15" t="s">
        <v>37</v>
      </c>
      <c r="D10" s="15" t="s">
        <v>119</v>
      </c>
      <c r="E10" s="15" t="s">
        <v>46</v>
      </c>
      <c r="F10" s="15" t="s">
        <v>52</v>
      </c>
      <c r="G10" s="15" t="s">
        <v>59</v>
      </c>
      <c r="H10" s="15" t="s">
        <v>61</v>
      </c>
      <c r="I10" s="15" t="s">
        <v>64</v>
      </c>
      <c r="J10" s="15" t="s">
        <v>70</v>
      </c>
      <c r="K10" s="15" t="s">
        <v>71</v>
      </c>
      <c r="L10" s="15" t="s">
        <v>75</v>
      </c>
      <c r="M10" s="15" t="s">
        <v>78</v>
      </c>
      <c r="N10" s="15" t="s">
        <v>79</v>
      </c>
      <c r="O10" s="17"/>
    </row>
    <row r="11" spans="1:15" ht="15.75" thickTop="1">
      <c r="A11" s="18"/>
      <c r="B11" s="18"/>
      <c r="C11" s="18" t="s">
        <v>38</v>
      </c>
      <c r="D11" s="18" t="s">
        <v>43</v>
      </c>
      <c r="E11" s="18"/>
      <c r="F11" s="18"/>
      <c r="G11" s="18"/>
      <c r="H11" s="18"/>
      <c r="I11" s="18"/>
      <c r="J11" s="18"/>
      <c r="K11" s="18"/>
      <c r="L11" s="19"/>
      <c r="M11" s="19"/>
      <c r="N11" s="18"/>
      <c r="O11" s="17"/>
    </row>
    <row r="12" spans="1:15">
      <c r="A12" s="22"/>
      <c r="B12" s="23" t="s">
        <v>29</v>
      </c>
      <c r="C12" s="23" t="s">
        <v>30</v>
      </c>
      <c r="D12" s="23" t="s">
        <v>44</v>
      </c>
      <c r="E12" s="23" t="s">
        <v>47</v>
      </c>
      <c r="F12" s="23" t="s">
        <v>53</v>
      </c>
      <c r="G12" s="23" t="s">
        <v>53</v>
      </c>
      <c r="H12" s="23" t="s">
        <v>43</v>
      </c>
      <c r="I12" s="23" t="s">
        <v>65</v>
      </c>
      <c r="J12" s="23" t="s">
        <v>65</v>
      </c>
      <c r="K12" s="23" t="s">
        <v>72</v>
      </c>
      <c r="L12" s="24"/>
      <c r="M12" s="24"/>
      <c r="N12" s="49" t="s">
        <v>85</v>
      </c>
      <c r="O12" s="63"/>
    </row>
    <row r="13" spans="1:15">
      <c r="A13" s="23" t="s">
        <v>8</v>
      </c>
      <c r="B13" s="49" t="s">
        <v>30</v>
      </c>
      <c r="C13" s="23" t="s">
        <v>118</v>
      </c>
      <c r="D13" s="23" t="s">
        <v>45</v>
      </c>
      <c r="E13" s="23" t="s">
        <v>48</v>
      </c>
      <c r="F13" s="23" t="s">
        <v>54</v>
      </c>
      <c r="G13" s="23" t="s">
        <v>54</v>
      </c>
      <c r="H13" s="23" t="s">
        <v>44</v>
      </c>
      <c r="I13" s="23" t="s">
        <v>55</v>
      </c>
      <c r="J13" s="23" t="s">
        <v>60</v>
      </c>
      <c r="K13" s="27" t="s">
        <v>73</v>
      </c>
      <c r="L13" s="27" t="s">
        <v>30</v>
      </c>
      <c r="M13" s="27"/>
      <c r="N13" s="23" t="s">
        <v>80</v>
      </c>
      <c r="O13" s="17"/>
    </row>
    <row r="14" spans="1:15">
      <c r="A14" s="23"/>
      <c r="B14" s="23" t="s">
        <v>32</v>
      </c>
      <c r="C14" s="23" t="s">
        <v>40</v>
      </c>
      <c r="D14" s="23" t="s">
        <v>32</v>
      </c>
      <c r="E14" s="23"/>
      <c r="F14" s="23" t="s">
        <v>55</v>
      </c>
      <c r="G14" s="23" t="s">
        <v>60</v>
      </c>
      <c r="H14" s="23" t="s">
        <v>62</v>
      </c>
      <c r="I14" s="22"/>
      <c r="J14" s="23"/>
      <c r="K14" s="23" t="s">
        <v>74</v>
      </c>
      <c r="L14" s="23" t="s">
        <v>76</v>
      </c>
      <c r="M14" s="23" t="s">
        <v>21</v>
      </c>
      <c r="N14" s="23" t="s">
        <v>81</v>
      </c>
      <c r="O14" s="17"/>
    </row>
    <row r="15" spans="1:15">
      <c r="A15" s="30" t="s">
        <v>9</v>
      </c>
      <c r="B15" s="110">
        <v>0</v>
      </c>
      <c r="C15" s="110">
        <v>0</v>
      </c>
      <c r="D15" s="110">
        <v>0</v>
      </c>
      <c r="E15" s="32">
        <f t="shared" ref="E15:E26" si="0">B15+C15-D15</f>
        <v>0</v>
      </c>
      <c r="F15" s="110">
        <v>0</v>
      </c>
      <c r="G15" s="32">
        <f t="shared" ref="G15:G27" si="1">E15-F15-H15-K15</f>
        <v>0</v>
      </c>
      <c r="H15" s="110">
        <v>0</v>
      </c>
      <c r="I15" s="110">
        <v>0</v>
      </c>
      <c r="J15" s="32">
        <f t="shared" ref="J15:J27" si="2">H15-I15-L15</f>
        <v>0</v>
      </c>
      <c r="K15" s="110">
        <v>0</v>
      </c>
      <c r="L15" s="110">
        <v>0</v>
      </c>
      <c r="M15" s="32">
        <f t="shared" ref="M15:M26" si="3">SUM(K15:L15)</f>
        <v>0</v>
      </c>
      <c r="N15" s="30">
        <f t="shared" ref="N15:N26" si="4">ROUND(+M15/$K$8,3)</f>
        <v>0</v>
      </c>
      <c r="O15" s="17"/>
    </row>
    <row r="16" spans="1:15">
      <c r="A16" s="30" t="s">
        <v>10</v>
      </c>
      <c r="B16" s="110">
        <v>0</v>
      </c>
      <c r="C16" s="110">
        <v>0</v>
      </c>
      <c r="D16" s="110">
        <v>0</v>
      </c>
      <c r="E16" s="32">
        <f t="shared" si="0"/>
        <v>0</v>
      </c>
      <c r="F16" s="110">
        <v>0</v>
      </c>
      <c r="G16" s="32">
        <f t="shared" si="1"/>
        <v>0</v>
      </c>
      <c r="H16" s="110">
        <v>0</v>
      </c>
      <c r="I16" s="110">
        <v>0</v>
      </c>
      <c r="J16" s="32">
        <f t="shared" si="2"/>
        <v>0</v>
      </c>
      <c r="K16" s="110">
        <v>0</v>
      </c>
      <c r="L16" s="110">
        <v>0</v>
      </c>
      <c r="M16" s="32">
        <f t="shared" si="3"/>
        <v>0</v>
      </c>
      <c r="N16" s="30">
        <f t="shared" si="4"/>
        <v>0</v>
      </c>
      <c r="O16" s="17"/>
    </row>
    <row r="17" spans="1:15">
      <c r="A17" s="30" t="s">
        <v>11</v>
      </c>
      <c r="B17" s="110">
        <v>0</v>
      </c>
      <c r="C17" s="110">
        <v>0</v>
      </c>
      <c r="D17" s="110">
        <v>0</v>
      </c>
      <c r="E17" s="32">
        <f t="shared" si="0"/>
        <v>0</v>
      </c>
      <c r="F17" s="110">
        <v>0</v>
      </c>
      <c r="G17" s="32">
        <f t="shared" si="1"/>
        <v>0</v>
      </c>
      <c r="H17" s="110">
        <v>0</v>
      </c>
      <c r="I17" s="110">
        <v>0</v>
      </c>
      <c r="J17" s="32">
        <f t="shared" si="2"/>
        <v>0</v>
      </c>
      <c r="K17" s="110">
        <v>0</v>
      </c>
      <c r="L17" s="110">
        <v>0</v>
      </c>
      <c r="M17" s="32">
        <f t="shared" si="3"/>
        <v>0</v>
      </c>
      <c r="N17" s="30">
        <f t="shared" si="4"/>
        <v>0</v>
      </c>
      <c r="O17" s="17"/>
    </row>
    <row r="18" spans="1:15">
      <c r="A18" s="30" t="s">
        <v>12</v>
      </c>
      <c r="B18" s="110">
        <v>0</v>
      </c>
      <c r="C18" s="110">
        <v>0</v>
      </c>
      <c r="D18" s="110">
        <v>0</v>
      </c>
      <c r="E18" s="32">
        <f t="shared" si="0"/>
        <v>0</v>
      </c>
      <c r="F18" s="110">
        <v>0</v>
      </c>
      <c r="G18" s="32">
        <f t="shared" si="1"/>
        <v>0</v>
      </c>
      <c r="H18" s="110">
        <v>0</v>
      </c>
      <c r="I18" s="110">
        <v>0</v>
      </c>
      <c r="J18" s="32">
        <f t="shared" si="2"/>
        <v>0</v>
      </c>
      <c r="K18" s="110">
        <v>0</v>
      </c>
      <c r="L18" s="110">
        <v>0</v>
      </c>
      <c r="M18" s="32">
        <f t="shared" si="3"/>
        <v>0</v>
      </c>
      <c r="N18" s="30">
        <f t="shared" si="4"/>
        <v>0</v>
      </c>
      <c r="O18" s="17"/>
    </row>
    <row r="19" spans="1:15">
      <c r="A19" s="30" t="s">
        <v>13</v>
      </c>
      <c r="B19" s="110">
        <v>3623</v>
      </c>
      <c r="C19" s="110">
        <v>0</v>
      </c>
      <c r="D19" s="110">
        <v>0</v>
      </c>
      <c r="E19" s="32">
        <f t="shared" si="0"/>
        <v>3623</v>
      </c>
      <c r="F19" s="110">
        <v>1072</v>
      </c>
      <c r="G19" s="32">
        <f t="shared" si="1"/>
        <v>2547</v>
      </c>
      <c r="H19" s="110">
        <v>4</v>
      </c>
      <c r="I19" s="110">
        <v>0</v>
      </c>
      <c r="J19" s="32">
        <f t="shared" si="2"/>
        <v>0</v>
      </c>
      <c r="K19" s="110">
        <v>0</v>
      </c>
      <c r="L19" s="110">
        <v>4</v>
      </c>
      <c r="M19" s="32">
        <f t="shared" si="3"/>
        <v>4</v>
      </c>
      <c r="N19" s="30">
        <f t="shared" si="4"/>
        <v>0</v>
      </c>
      <c r="O19" s="17"/>
    </row>
    <row r="20" spans="1:15">
      <c r="A20" s="30" t="s">
        <v>14</v>
      </c>
      <c r="B20" s="110">
        <v>7258</v>
      </c>
      <c r="C20" s="110">
        <v>0</v>
      </c>
      <c r="D20" s="110">
        <v>0</v>
      </c>
      <c r="E20" s="32">
        <f t="shared" si="0"/>
        <v>7258</v>
      </c>
      <c r="F20" s="110">
        <v>1802</v>
      </c>
      <c r="G20" s="32">
        <f t="shared" si="1"/>
        <v>3297</v>
      </c>
      <c r="H20" s="110">
        <v>1941</v>
      </c>
      <c r="I20" s="110">
        <v>0</v>
      </c>
      <c r="J20" s="32">
        <f t="shared" si="2"/>
        <v>0</v>
      </c>
      <c r="K20" s="110">
        <v>218</v>
      </c>
      <c r="L20" s="110">
        <v>1941</v>
      </c>
      <c r="M20" s="32">
        <f t="shared" si="3"/>
        <v>2159</v>
      </c>
      <c r="N20" s="30">
        <f t="shared" si="4"/>
        <v>0.10299999999999999</v>
      </c>
      <c r="O20" s="17"/>
    </row>
    <row r="21" spans="1:15">
      <c r="A21" s="30" t="s">
        <v>15</v>
      </c>
      <c r="B21" s="110">
        <v>12287</v>
      </c>
      <c r="C21" s="110">
        <v>0</v>
      </c>
      <c r="D21" s="110">
        <v>0</v>
      </c>
      <c r="E21" s="32">
        <f t="shared" si="0"/>
        <v>12287</v>
      </c>
      <c r="F21" s="110">
        <v>2240</v>
      </c>
      <c r="G21" s="32">
        <f t="shared" si="1"/>
        <v>2989</v>
      </c>
      <c r="H21" s="110">
        <v>6274</v>
      </c>
      <c r="I21" s="110">
        <v>0</v>
      </c>
      <c r="J21" s="32">
        <f t="shared" si="2"/>
        <v>0</v>
      </c>
      <c r="K21" s="110">
        <v>784</v>
      </c>
      <c r="L21" s="110">
        <v>6274</v>
      </c>
      <c r="M21" s="32">
        <f t="shared" si="3"/>
        <v>7058</v>
      </c>
      <c r="N21" s="30">
        <f t="shared" si="4"/>
        <v>0.33600000000000002</v>
      </c>
      <c r="O21" s="17"/>
    </row>
    <row r="22" spans="1:15">
      <c r="A22" s="30" t="s">
        <v>16</v>
      </c>
      <c r="B22" s="110">
        <v>17597</v>
      </c>
      <c r="C22" s="110">
        <v>0</v>
      </c>
      <c r="D22" s="110">
        <v>0</v>
      </c>
      <c r="E22" s="32">
        <f t="shared" si="0"/>
        <v>17597</v>
      </c>
      <c r="F22" s="110">
        <v>3552</v>
      </c>
      <c r="G22" s="32">
        <f t="shared" si="1"/>
        <v>2491</v>
      </c>
      <c r="H22" s="110">
        <v>10096</v>
      </c>
      <c r="I22" s="110">
        <v>0</v>
      </c>
      <c r="J22" s="32">
        <f t="shared" si="2"/>
        <v>0</v>
      </c>
      <c r="K22" s="110">
        <v>1458</v>
      </c>
      <c r="L22" s="110">
        <v>10096</v>
      </c>
      <c r="M22" s="32">
        <f t="shared" si="3"/>
        <v>11554</v>
      </c>
      <c r="N22" s="30">
        <f t="shared" si="4"/>
        <v>0.55000000000000004</v>
      </c>
      <c r="O22" s="17"/>
    </row>
    <row r="23" spans="1:15">
      <c r="A23" s="30" t="s">
        <v>17</v>
      </c>
      <c r="B23" s="110">
        <v>8275</v>
      </c>
      <c r="C23" s="110">
        <v>0</v>
      </c>
      <c r="D23" s="110">
        <v>0</v>
      </c>
      <c r="E23" s="32">
        <f t="shared" si="0"/>
        <v>8275</v>
      </c>
      <c r="F23" s="110">
        <v>6365</v>
      </c>
      <c r="G23" s="32">
        <f t="shared" si="1"/>
        <v>683</v>
      </c>
      <c r="H23" s="110">
        <v>1028</v>
      </c>
      <c r="I23" s="110">
        <v>0</v>
      </c>
      <c r="J23" s="32">
        <f t="shared" si="2"/>
        <v>0</v>
      </c>
      <c r="K23" s="110">
        <v>199</v>
      </c>
      <c r="L23" s="110">
        <v>1028</v>
      </c>
      <c r="M23" s="32">
        <f t="shared" si="3"/>
        <v>1227</v>
      </c>
      <c r="N23" s="30">
        <f t="shared" si="4"/>
        <v>5.8000000000000003E-2</v>
      </c>
      <c r="O23" s="17"/>
    </row>
    <row r="24" spans="1:15">
      <c r="A24" s="30" t="s">
        <v>18</v>
      </c>
      <c r="B24" s="110">
        <v>0</v>
      </c>
      <c r="C24" s="110">
        <v>0</v>
      </c>
      <c r="D24" s="110">
        <v>0</v>
      </c>
      <c r="E24" s="32">
        <f t="shared" si="0"/>
        <v>0</v>
      </c>
      <c r="F24" s="110">
        <v>0</v>
      </c>
      <c r="G24" s="32">
        <f t="shared" si="1"/>
        <v>0</v>
      </c>
      <c r="H24" s="110">
        <v>0</v>
      </c>
      <c r="I24" s="110">
        <v>0</v>
      </c>
      <c r="J24" s="32">
        <f t="shared" si="2"/>
        <v>0</v>
      </c>
      <c r="K24" s="110">
        <v>0</v>
      </c>
      <c r="L24" s="110">
        <v>0</v>
      </c>
      <c r="M24" s="32">
        <f t="shared" si="3"/>
        <v>0</v>
      </c>
      <c r="N24" s="30">
        <f t="shared" si="4"/>
        <v>0</v>
      </c>
      <c r="O24" s="17"/>
    </row>
    <row r="25" spans="1:15">
      <c r="A25" s="30" t="s">
        <v>19</v>
      </c>
      <c r="B25" s="110">
        <v>0</v>
      </c>
      <c r="C25" s="110">
        <v>0</v>
      </c>
      <c r="D25" s="110">
        <v>0</v>
      </c>
      <c r="E25" s="32">
        <f t="shared" si="0"/>
        <v>0</v>
      </c>
      <c r="F25" s="110">
        <v>0</v>
      </c>
      <c r="G25" s="32">
        <f t="shared" si="1"/>
        <v>0</v>
      </c>
      <c r="H25" s="110">
        <v>0</v>
      </c>
      <c r="I25" s="110">
        <v>0</v>
      </c>
      <c r="J25" s="32">
        <f t="shared" si="2"/>
        <v>0</v>
      </c>
      <c r="K25" s="110">
        <v>0</v>
      </c>
      <c r="L25" s="110">
        <v>0</v>
      </c>
      <c r="M25" s="32">
        <f t="shared" si="3"/>
        <v>0</v>
      </c>
      <c r="N25" s="30">
        <f t="shared" si="4"/>
        <v>0</v>
      </c>
      <c r="O25" s="17"/>
    </row>
    <row r="26" spans="1:15">
      <c r="A26" s="30" t="s">
        <v>20</v>
      </c>
      <c r="B26" s="110">
        <v>0</v>
      </c>
      <c r="C26" s="110">
        <v>0</v>
      </c>
      <c r="D26" s="110">
        <v>0</v>
      </c>
      <c r="E26" s="32">
        <f t="shared" si="0"/>
        <v>0</v>
      </c>
      <c r="F26" s="110">
        <v>0</v>
      </c>
      <c r="G26" s="32">
        <f t="shared" si="1"/>
        <v>0</v>
      </c>
      <c r="H26" s="110">
        <v>0</v>
      </c>
      <c r="I26" s="110">
        <v>0</v>
      </c>
      <c r="J26" s="32">
        <f t="shared" si="2"/>
        <v>0</v>
      </c>
      <c r="K26" s="110">
        <v>0</v>
      </c>
      <c r="L26" s="110">
        <v>0</v>
      </c>
      <c r="M26" s="32">
        <f t="shared" si="3"/>
        <v>0</v>
      </c>
      <c r="N26" s="30">
        <f t="shared" si="4"/>
        <v>0</v>
      </c>
      <c r="O26" s="17"/>
    </row>
    <row r="27" spans="1:15" ht="15.75" thickBot="1">
      <c r="A27" s="30" t="s">
        <v>21</v>
      </c>
      <c r="B27" s="32">
        <f>SUM(B15:B26)</f>
        <v>49040</v>
      </c>
      <c r="C27" s="32">
        <f>SUM(C15:C26)</f>
        <v>0</v>
      </c>
      <c r="D27" s="32">
        <f>SUM(D15:D26)</f>
        <v>0</v>
      </c>
      <c r="E27" s="32">
        <f>SUM(E15:E26)</f>
        <v>49040</v>
      </c>
      <c r="F27" s="124">
        <f>SUM(F15:F26)</f>
        <v>15031</v>
      </c>
      <c r="G27" s="32">
        <f t="shared" si="1"/>
        <v>12007</v>
      </c>
      <c r="H27" s="32">
        <f>SUM(H15:H26)</f>
        <v>19343</v>
      </c>
      <c r="I27" s="32">
        <f>SUM(I15:I26)</f>
        <v>0</v>
      </c>
      <c r="J27" s="32">
        <f t="shared" si="2"/>
        <v>0</v>
      </c>
      <c r="K27" s="32">
        <f>SUM(K15:K26)</f>
        <v>2659</v>
      </c>
      <c r="L27" s="32">
        <f>SUM(L15:L26)</f>
        <v>19343</v>
      </c>
      <c r="M27" s="32">
        <f>SUM(M15:M26)</f>
        <v>22002</v>
      </c>
      <c r="N27" s="131">
        <f>SUM(N15:N26)</f>
        <v>1.0470000000000002</v>
      </c>
      <c r="O27" s="17"/>
    </row>
    <row r="28" spans="1:15" ht="15.75" thickTop="1">
      <c r="A28" s="15" t="s">
        <v>110</v>
      </c>
      <c r="B28" s="36" t="s">
        <v>0</v>
      </c>
      <c r="C28" s="36" t="s">
        <v>0</v>
      </c>
      <c r="D28" s="36" t="s">
        <v>0</v>
      </c>
      <c r="E28" s="36">
        <f t="shared" ref="E28:M28" si="5">ROUND(+E27/$K$8,2)</f>
        <v>2.33</v>
      </c>
      <c r="F28" s="36">
        <f t="shared" si="5"/>
        <v>0.72</v>
      </c>
      <c r="G28" s="36">
        <f t="shared" si="5"/>
        <v>0.56999999999999995</v>
      </c>
      <c r="H28" s="36">
        <f t="shared" si="5"/>
        <v>0.92</v>
      </c>
      <c r="I28" s="36">
        <f t="shared" si="5"/>
        <v>0</v>
      </c>
      <c r="J28" s="36">
        <f t="shared" si="5"/>
        <v>0</v>
      </c>
      <c r="K28" s="36">
        <f t="shared" si="5"/>
        <v>0.13</v>
      </c>
      <c r="L28" s="36">
        <f t="shared" si="5"/>
        <v>0.92</v>
      </c>
      <c r="M28" s="36">
        <f t="shared" si="5"/>
        <v>1.05</v>
      </c>
      <c r="N28" s="15"/>
      <c r="O28" s="17"/>
    </row>
    <row r="29" spans="1:15">
      <c r="A29" s="30" t="s">
        <v>23</v>
      </c>
      <c r="B29" s="39" t="s">
        <v>0</v>
      </c>
      <c r="C29" s="39" t="s">
        <v>0</v>
      </c>
      <c r="D29" s="39" t="s">
        <v>0</v>
      </c>
      <c r="E29" s="39">
        <f>E27/$E$27*100</f>
        <v>100</v>
      </c>
      <c r="F29" s="39">
        <f t="shared" ref="F29:M29" si="6">ROUND(+F27/$E$27*100,1)</f>
        <v>30.7</v>
      </c>
      <c r="G29" s="39">
        <f t="shared" si="6"/>
        <v>24.5</v>
      </c>
      <c r="H29" s="39">
        <f t="shared" si="6"/>
        <v>39.4</v>
      </c>
      <c r="I29" s="39">
        <f t="shared" si="6"/>
        <v>0</v>
      </c>
      <c r="J29" s="39">
        <f t="shared" si="6"/>
        <v>0</v>
      </c>
      <c r="K29" s="39">
        <f t="shared" si="6"/>
        <v>5.4</v>
      </c>
      <c r="L29" s="39">
        <f t="shared" si="6"/>
        <v>39.4</v>
      </c>
      <c r="M29" s="39">
        <f t="shared" si="6"/>
        <v>44.9</v>
      </c>
      <c r="N29" s="30"/>
      <c r="O29" s="17"/>
    </row>
    <row r="30" spans="1:1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>
      <c r="A31" s="24" t="s">
        <v>24</v>
      </c>
      <c r="B31" s="24" t="s">
        <v>33</v>
      </c>
      <c r="C31" s="3"/>
      <c r="D31" s="3"/>
      <c r="E31" s="3"/>
      <c r="F31" s="3"/>
      <c r="G31" s="3"/>
      <c r="H31" s="3"/>
      <c r="I31" s="24" t="s">
        <v>66</v>
      </c>
      <c r="J31" s="3"/>
      <c r="K31" s="3"/>
      <c r="L31" s="3"/>
      <c r="M31" s="3"/>
      <c r="N31" s="3"/>
    </row>
    <row r="32" spans="1:15">
      <c r="A32" s="24"/>
      <c r="B32" s="24" t="s">
        <v>34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  <c r="M32" s="3"/>
      <c r="N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  <c r="M33" s="3"/>
      <c r="N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  <c r="M34" s="3"/>
      <c r="N34" s="3"/>
    </row>
    <row r="35" spans="1:15">
      <c r="A35" s="54"/>
      <c r="B35" s="2"/>
      <c r="C35" s="2" t="s">
        <v>0</v>
      </c>
      <c r="D35" s="2" t="s">
        <v>0</v>
      </c>
      <c r="E35" s="56" t="s">
        <v>0</v>
      </c>
      <c r="F35" s="2"/>
      <c r="G35" s="2"/>
      <c r="H35" s="3"/>
      <c r="I35" s="43" t="s">
        <v>0</v>
      </c>
      <c r="J35" s="3"/>
      <c r="K35" s="3"/>
      <c r="L35" s="3"/>
      <c r="M35" s="3"/>
      <c r="N35" s="3"/>
      <c r="O35" s="44"/>
    </row>
    <row r="36" spans="1:15">
      <c r="A36" s="54"/>
      <c r="B36" s="2"/>
      <c r="C36" s="2" t="s">
        <v>0</v>
      </c>
      <c r="D36" s="2" t="s">
        <v>0</v>
      </c>
      <c r="E36" s="56" t="s">
        <v>0</v>
      </c>
      <c r="F36" s="2"/>
      <c r="G36" s="2"/>
      <c r="H36" s="3"/>
      <c r="I36" s="43" t="s">
        <v>0</v>
      </c>
      <c r="J36" s="3"/>
      <c r="K36" s="3"/>
      <c r="L36" s="3"/>
      <c r="M36" s="3"/>
      <c r="N36" s="3"/>
    </row>
    <row r="37" spans="1:15">
      <c r="A37" s="7"/>
      <c r="C37" s="64" t="s">
        <v>0</v>
      </c>
      <c r="D37" s="64" t="s">
        <v>0</v>
      </c>
      <c r="E37" s="65" t="s">
        <v>0</v>
      </c>
    </row>
  </sheetData>
  <phoneticPr fontId="0" type="noConversion"/>
  <pageMargins left="0.5" right="0.5" top="0.5" bottom="0.5" header="0" footer="0"/>
  <pageSetup scale="84" orientation="landscape" r:id="rId1"/>
  <headerFooter alignWithMargins="0"/>
  <rowBreaks count="1" manualBreakCount="1">
    <brk id="34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O38"/>
  <sheetViews>
    <sheetView showOutlineSymbols="0" topLeftCell="A5" zoomScale="87" zoomScaleNormal="87" workbookViewId="0">
      <selection activeCell="T42" sqref="T42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5" width="7.6640625" style="78" customWidth="1"/>
    <col min="6" max="6" width="8.6640625" style="78" customWidth="1"/>
    <col min="7" max="10" width="7.6640625" style="78" customWidth="1"/>
    <col min="11" max="11" width="8.109375" style="78" customWidth="1"/>
    <col min="12" max="14" width="7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151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181</v>
      </c>
      <c r="C8" s="74"/>
      <c r="D8" s="74"/>
      <c r="E8" s="74"/>
      <c r="F8" s="74"/>
      <c r="G8" s="82" t="s">
        <v>56</v>
      </c>
      <c r="H8" s="74"/>
      <c r="I8" s="74" t="s">
        <v>120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5">
        <v>55126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182</v>
      </c>
      <c r="C10" s="84"/>
      <c r="D10" s="84"/>
      <c r="E10" s="84"/>
      <c r="F10" s="84"/>
      <c r="G10" s="83" t="s">
        <v>58</v>
      </c>
      <c r="H10" s="84"/>
      <c r="I10" s="84" t="s">
        <v>0</v>
      </c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172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0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29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30</v>
      </c>
      <c r="C14" s="89" t="s">
        <v>171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54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53">
        <f>mirdan!B16+Fullerton!B15</f>
        <v>0</v>
      </c>
      <c r="C16" s="53">
        <f>mirdan!C16+Fullerton!C15</f>
        <v>0</v>
      </c>
      <c r="D16" s="53">
        <f>mirdan!D16+Fullerton!D15</f>
        <v>0</v>
      </c>
      <c r="E16" s="32">
        <f>mirdan!E16+Fullerton!E15</f>
        <v>0</v>
      </c>
      <c r="F16" s="53">
        <f>mirdan!F16+Fullerton!F15</f>
        <v>0</v>
      </c>
      <c r="G16" s="32">
        <f>mirdan!G16+Fullerton!G15</f>
        <v>0</v>
      </c>
      <c r="H16" s="53">
        <f>mirdan!H16+Fullerton!H15</f>
        <v>0</v>
      </c>
      <c r="I16" s="53">
        <f>mirdan!I16+Fullerton!I15</f>
        <v>0</v>
      </c>
      <c r="J16" s="32">
        <f>mirdan!J16+Fullerton!J15</f>
        <v>0</v>
      </c>
      <c r="K16" s="53">
        <f>mirdan!K16+Fullerton!K15</f>
        <v>0</v>
      </c>
      <c r="L16" s="53">
        <f>mirdan!L16+Fullerton!L15</f>
        <v>0</v>
      </c>
      <c r="M16" s="32">
        <f t="shared" ref="M16:M27" si="0">SUM(K16:L16)</f>
        <v>0</v>
      </c>
      <c r="N16" s="71">
        <f t="shared" ref="N16:N28" si="1">ROUND(+M16/$K$9,3)</f>
        <v>0</v>
      </c>
      <c r="O16" s="85"/>
    </row>
    <row r="17" spans="1:15">
      <c r="A17" s="71" t="s">
        <v>10</v>
      </c>
      <c r="B17" s="53">
        <f>mirdan!B17+Fullerton!B16</f>
        <v>0</v>
      </c>
      <c r="C17" s="53">
        <f>mirdan!C17+Fullerton!C16</f>
        <v>0</v>
      </c>
      <c r="D17" s="53">
        <f>mirdan!D17+Fullerton!D16</f>
        <v>0</v>
      </c>
      <c r="E17" s="32">
        <f>mirdan!E17+Fullerton!E16</f>
        <v>0</v>
      </c>
      <c r="F17" s="53">
        <f>mirdan!F17+Fullerton!F16</f>
        <v>0</v>
      </c>
      <c r="G17" s="32">
        <f>mirdan!G17+Fullerton!G16</f>
        <v>0</v>
      </c>
      <c r="H17" s="53">
        <f>mirdan!H17+Fullerton!H16</f>
        <v>0</v>
      </c>
      <c r="I17" s="53">
        <f>mirdan!I17+Fullerton!I16</f>
        <v>0</v>
      </c>
      <c r="J17" s="32">
        <f>mirdan!J17+Fullerton!J16</f>
        <v>0</v>
      </c>
      <c r="K17" s="53">
        <f>mirdan!K17+Fullerton!K16</f>
        <v>0</v>
      </c>
      <c r="L17" s="53">
        <f>mirdan!L17+Fullerton!L16</f>
        <v>0</v>
      </c>
      <c r="M17" s="32">
        <f t="shared" si="0"/>
        <v>0</v>
      </c>
      <c r="N17" s="71">
        <f t="shared" si="1"/>
        <v>0</v>
      </c>
      <c r="O17" s="85"/>
    </row>
    <row r="18" spans="1:15">
      <c r="A18" s="71" t="s">
        <v>11</v>
      </c>
      <c r="B18" s="53">
        <f>mirdan!B18+Fullerton!B17</f>
        <v>0</v>
      </c>
      <c r="C18" s="53">
        <f>mirdan!C18+Fullerton!C17</f>
        <v>0</v>
      </c>
      <c r="D18" s="53">
        <f>mirdan!D18+Fullerton!D17</f>
        <v>0</v>
      </c>
      <c r="E18" s="32">
        <f>mirdan!E18+Fullerton!E17</f>
        <v>0</v>
      </c>
      <c r="F18" s="53">
        <f>mirdan!F18+Fullerton!F17</f>
        <v>0</v>
      </c>
      <c r="G18" s="32">
        <f>mirdan!G18+Fullerton!G17</f>
        <v>0</v>
      </c>
      <c r="H18" s="53">
        <f>mirdan!H18+Fullerton!H17</f>
        <v>0</v>
      </c>
      <c r="I18" s="53">
        <f>mirdan!I18+Fullerton!I17</f>
        <v>0</v>
      </c>
      <c r="J18" s="32">
        <f>mirdan!J18+Fullerton!J17</f>
        <v>0</v>
      </c>
      <c r="K18" s="53">
        <f>mirdan!K18+Fullerton!K17</f>
        <v>0</v>
      </c>
      <c r="L18" s="53">
        <f>mirdan!L18+Fullerton!L17</f>
        <v>0</v>
      </c>
      <c r="M18" s="32">
        <f t="shared" si="0"/>
        <v>0</v>
      </c>
      <c r="N18" s="71">
        <f t="shared" si="1"/>
        <v>0</v>
      </c>
      <c r="O18" s="85"/>
    </row>
    <row r="19" spans="1:15">
      <c r="A19" s="71" t="s">
        <v>12</v>
      </c>
      <c r="B19" s="53">
        <f>mirdan!B19+Fullerton!B18</f>
        <v>2678</v>
      </c>
      <c r="C19" s="53">
        <f>mirdan!C19+Fullerton!C18</f>
        <v>0</v>
      </c>
      <c r="D19" s="53">
        <f>mirdan!D19+Fullerton!D18</f>
        <v>2598</v>
      </c>
      <c r="E19" s="32">
        <f>mirdan!E19+Fullerton!E18</f>
        <v>80</v>
      </c>
      <c r="F19" s="53">
        <f>mirdan!F19+Fullerton!F18</f>
        <v>0</v>
      </c>
      <c r="G19" s="32">
        <f>mirdan!G19+Fullerton!G18</f>
        <v>53</v>
      </c>
      <c r="H19" s="53">
        <f>mirdan!H19+Fullerton!H18</f>
        <v>27</v>
      </c>
      <c r="I19" s="53">
        <f>mirdan!I19+Fullerton!I18</f>
        <v>0</v>
      </c>
      <c r="J19" s="32">
        <f>mirdan!J19+Fullerton!J18</f>
        <v>24</v>
      </c>
      <c r="K19" s="53">
        <f>mirdan!K19+Fullerton!K18</f>
        <v>0</v>
      </c>
      <c r="L19" s="53">
        <f>mirdan!L19+Fullerton!L18</f>
        <v>3</v>
      </c>
      <c r="M19" s="32">
        <f t="shared" si="0"/>
        <v>3</v>
      </c>
      <c r="N19" s="71">
        <f t="shared" si="1"/>
        <v>0</v>
      </c>
      <c r="O19" s="85"/>
    </row>
    <row r="20" spans="1:15">
      <c r="A20" s="71" t="s">
        <v>13</v>
      </c>
      <c r="B20" s="53">
        <f>mirdan!B20+Fullerton!B19</f>
        <v>22672</v>
      </c>
      <c r="C20" s="53">
        <f>mirdan!C20+Fullerton!C19</f>
        <v>2609</v>
      </c>
      <c r="D20" s="53">
        <f>mirdan!D20+Fullerton!D19</f>
        <v>18969</v>
      </c>
      <c r="E20" s="32">
        <f>mirdan!E20+Fullerton!E19</f>
        <v>6312</v>
      </c>
      <c r="F20" s="53">
        <f>mirdan!F20+Fullerton!F19</f>
        <v>2552</v>
      </c>
      <c r="G20" s="32">
        <f>mirdan!G20+Fullerton!G19</f>
        <v>3116</v>
      </c>
      <c r="H20" s="53">
        <f>mirdan!H20+Fullerton!H19</f>
        <v>641</v>
      </c>
      <c r="I20" s="53">
        <f>mirdan!I20+Fullerton!I19</f>
        <v>158</v>
      </c>
      <c r="J20" s="32">
        <f>mirdan!J20+Fullerton!J19</f>
        <v>473</v>
      </c>
      <c r="K20" s="53">
        <f>mirdan!K20+Fullerton!K19</f>
        <v>3</v>
      </c>
      <c r="L20" s="53">
        <f>mirdan!L20+Fullerton!L19</f>
        <v>10</v>
      </c>
      <c r="M20" s="32">
        <f t="shared" si="0"/>
        <v>13</v>
      </c>
      <c r="N20" s="71">
        <f t="shared" si="1"/>
        <v>0</v>
      </c>
      <c r="O20" s="85"/>
    </row>
    <row r="21" spans="1:15">
      <c r="A21" s="71" t="s">
        <v>14</v>
      </c>
      <c r="B21" s="53">
        <f>mirdan!B21+Fullerton!B20</f>
        <v>28158</v>
      </c>
      <c r="C21" s="53">
        <f>mirdan!C21+Fullerton!C20</f>
        <v>992</v>
      </c>
      <c r="D21" s="53">
        <f>mirdan!D21+Fullerton!D20</f>
        <v>16346</v>
      </c>
      <c r="E21" s="32">
        <f>mirdan!E21+Fullerton!E20</f>
        <v>12804</v>
      </c>
      <c r="F21" s="53">
        <f>mirdan!F21+Fullerton!F20</f>
        <v>3843</v>
      </c>
      <c r="G21" s="32">
        <f>mirdan!G21+Fullerton!G20</f>
        <v>4358</v>
      </c>
      <c r="H21" s="53">
        <f>mirdan!H21+Fullerton!H20</f>
        <v>3876</v>
      </c>
      <c r="I21" s="53">
        <f>mirdan!I21+Fullerton!I20</f>
        <v>358</v>
      </c>
      <c r="J21" s="32">
        <f>mirdan!J21+Fullerton!J20</f>
        <v>347</v>
      </c>
      <c r="K21" s="53">
        <f>mirdan!K21+Fullerton!K20</f>
        <v>727</v>
      </c>
      <c r="L21" s="53">
        <f>mirdan!L21+Fullerton!L20</f>
        <v>3171</v>
      </c>
      <c r="M21" s="32">
        <f t="shared" si="0"/>
        <v>3898</v>
      </c>
      <c r="N21" s="71">
        <f t="shared" si="1"/>
        <v>7.0999999999999994E-2</v>
      </c>
      <c r="O21" s="85"/>
    </row>
    <row r="22" spans="1:15">
      <c r="A22" s="71" t="s">
        <v>15</v>
      </c>
      <c r="B22" s="53">
        <f>mirdan!B22+Fullerton!B21</f>
        <v>39663</v>
      </c>
      <c r="C22" s="53">
        <f>mirdan!C22+Fullerton!C21</f>
        <v>0</v>
      </c>
      <c r="D22" s="53">
        <f>mirdan!D22+Fullerton!D21</f>
        <v>16088</v>
      </c>
      <c r="E22" s="32">
        <f>mirdan!E22+Fullerton!E21</f>
        <v>23575</v>
      </c>
      <c r="F22" s="53">
        <f>mirdan!F22+Fullerton!F21</f>
        <v>4972</v>
      </c>
      <c r="G22" s="32">
        <f>mirdan!G22+Fullerton!G21</f>
        <v>4804</v>
      </c>
      <c r="H22" s="53">
        <f>mirdan!H22+Fullerton!H21</f>
        <v>11173</v>
      </c>
      <c r="I22" s="53">
        <f>mirdan!I22+Fullerton!I21</f>
        <v>370</v>
      </c>
      <c r="J22" s="32">
        <f>mirdan!J22+Fullerton!J21</f>
        <v>318</v>
      </c>
      <c r="K22" s="53">
        <f>mirdan!K22+Fullerton!K21</f>
        <v>2626</v>
      </c>
      <c r="L22" s="53">
        <f>mirdan!L22+Fullerton!L21</f>
        <v>10485</v>
      </c>
      <c r="M22" s="32">
        <f t="shared" si="0"/>
        <v>13111</v>
      </c>
      <c r="N22" s="71">
        <f t="shared" si="1"/>
        <v>0.23799999999999999</v>
      </c>
      <c r="O22" s="85"/>
    </row>
    <row r="23" spans="1:15">
      <c r="A23" s="71" t="s">
        <v>16</v>
      </c>
      <c r="B23" s="53">
        <f>mirdan!B23+Fullerton!B22</f>
        <v>48775</v>
      </c>
      <c r="C23" s="53">
        <f>mirdan!C23+Fullerton!C22</f>
        <v>0</v>
      </c>
      <c r="D23" s="53">
        <f>mirdan!D23+Fullerton!D22</f>
        <v>12679</v>
      </c>
      <c r="E23" s="32">
        <f>mirdan!E23+Fullerton!E22</f>
        <v>36096</v>
      </c>
      <c r="F23" s="53">
        <f>mirdan!F23+Fullerton!F22</f>
        <v>5890</v>
      </c>
      <c r="G23" s="32">
        <f>mirdan!G23+Fullerton!G22</f>
        <v>4816</v>
      </c>
      <c r="H23" s="53">
        <f>mirdan!H23+Fullerton!H22</f>
        <v>20505</v>
      </c>
      <c r="I23" s="53">
        <f>mirdan!I23+Fullerton!I22</f>
        <v>344</v>
      </c>
      <c r="J23" s="32">
        <f>mirdan!J23+Fullerton!J22</f>
        <v>355</v>
      </c>
      <c r="K23" s="53">
        <f>mirdan!K23+Fullerton!K22</f>
        <v>4885</v>
      </c>
      <c r="L23" s="53">
        <f>mirdan!L23+Fullerton!L22</f>
        <v>19806</v>
      </c>
      <c r="M23" s="32">
        <f t="shared" si="0"/>
        <v>24691</v>
      </c>
      <c r="N23" s="71">
        <f t="shared" si="1"/>
        <v>0.44800000000000001</v>
      </c>
      <c r="O23" s="85"/>
    </row>
    <row r="24" spans="1:15">
      <c r="A24" s="71" t="s">
        <v>17</v>
      </c>
      <c r="B24" s="53">
        <f>mirdan!B24+Fullerton!B23</f>
        <v>18695</v>
      </c>
      <c r="C24" s="53">
        <f>mirdan!C24+Fullerton!C23</f>
        <v>0</v>
      </c>
      <c r="D24" s="53">
        <f>mirdan!D24+Fullerton!D23</f>
        <v>4919</v>
      </c>
      <c r="E24" s="32">
        <f>mirdan!E24+Fullerton!E23</f>
        <v>13776</v>
      </c>
      <c r="F24" s="53">
        <f>mirdan!F24+Fullerton!F23</f>
        <v>8027</v>
      </c>
      <c r="G24" s="32">
        <f>mirdan!G24+Fullerton!G23</f>
        <v>894</v>
      </c>
      <c r="H24" s="53">
        <f>mirdan!H24+Fullerton!H23</f>
        <v>3713</v>
      </c>
      <c r="I24" s="53">
        <f>mirdan!I24+Fullerton!I23</f>
        <v>206</v>
      </c>
      <c r="J24" s="32">
        <f>mirdan!J24+Fullerton!J23</f>
        <v>153</v>
      </c>
      <c r="K24" s="53">
        <f>mirdan!K24+Fullerton!K23</f>
        <v>1142</v>
      </c>
      <c r="L24" s="53">
        <f>mirdan!L24+Fullerton!L23</f>
        <v>3354</v>
      </c>
      <c r="M24" s="32">
        <f t="shared" si="0"/>
        <v>4496</v>
      </c>
      <c r="N24" s="71">
        <f t="shared" si="1"/>
        <v>8.2000000000000003E-2</v>
      </c>
      <c r="O24" s="85"/>
    </row>
    <row r="25" spans="1:15">
      <c r="A25" s="71" t="s">
        <v>18</v>
      </c>
      <c r="B25" s="53">
        <f>mirdan!B25+Fullerton!B24</f>
        <v>0</v>
      </c>
      <c r="C25" s="53">
        <f>mirdan!C25+Fullerton!C24</f>
        <v>0</v>
      </c>
      <c r="D25" s="53">
        <f>mirdan!D25+Fullerton!D24</f>
        <v>0</v>
      </c>
      <c r="E25" s="32">
        <f>mirdan!E25+Fullerton!E24</f>
        <v>0</v>
      </c>
      <c r="F25" s="53">
        <f>mirdan!F25+Fullerton!F24</f>
        <v>0</v>
      </c>
      <c r="G25" s="32">
        <f>mirdan!G25+Fullerton!G24</f>
        <v>0</v>
      </c>
      <c r="H25" s="53">
        <f>mirdan!H25+Fullerton!H24</f>
        <v>0</v>
      </c>
      <c r="I25" s="53">
        <f>mirdan!I25+Fullerton!I24</f>
        <v>0</v>
      </c>
      <c r="J25" s="32">
        <f>mirdan!J25+Fullerton!J24</f>
        <v>0</v>
      </c>
      <c r="K25" s="53">
        <f>mirdan!K25+Fullerton!K24</f>
        <v>0</v>
      </c>
      <c r="L25" s="53">
        <f>mirdan!L25+Fullerton!L24</f>
        <v>0</v>
      </c>
      <c r="M25" s="32">
        <f t="shared" si="0"/>
        <v>0</v>
      </c>
      <c r="N25" s="71">
        <f t="shared" si="1"/>
        <v>0</v>
      </c>
      <c r="O25" s="85"/>
    </row>
    <row r="26" spans="1:15">
      <c r="A26" s="71" t="s">
        <v>19</v>
      </c>
      <c r="B26" s="53">
        <f>mirdan!B26+Fullerton!B25</f>
        <v>0</v>
      </c>
      <c r="C26" s="53">
        <f>mirdan!C26+Fullerton!C25</f>
        <v>0</v>
      </c>
      <c r="D26" s="53">
        <f>mirdan!D26+Fullerton!D25</f>
        <v>0</v>
      </c>
      <c r="E26" s="32">
        <f>mirdan!E26+Fullerton!E25</f>
        <v>0</v>
      </c>
      <c r="F26" s="53">
        <f>mirdan!F26+Fullerton!F25</f>
        <v>0</v>
      </c>
      <c r="G26" s="32">
        <f>mirdan!G26+Fullerton!G25</f>
        <v>0</v>
      </c>
      <c r="H26" s="53">
        <f>mirdan!H26+Fullerton!H25</f>
        <v>0</v>
      </c>
      <c r="I26" s="53">
        <f>mirdan!I26+Fullerton!I25</f>
        <v>0</v>
      </c>
      <c r="J26" s="32">
        <f>mirdan!J26+Fullerton!J25</f>
        <v>0</v>
      </c>
      <c r="K26" s="53">
        <f>mirdan!K26+Fullerton!K25</f>
        <v>0</v>
      </c>
      <c r="L26" s="53">
        <f>mirdan!L26+Fullerton!L25</f>
        <v>0</v>
      </c>
      <c r="M26" s="32">
        <f t="shared" si="0"/>
        <v>0</v>
      </c>
      <c r="N26" s="71">
        <f t="shared" si="1"/>
        <v>0</v>
      </c>
      <c r="O26" s="85"/>
    </row>
    <row r="27" spans="1:15">
      <c r="A27" s="71" t="s">
        <v>20</v>
      </c>
      <c r="B27" s="53">
        <f>mirdan!B27+Fullerton!B26</f>
        <v>0</v>
      </c>
      <c r="C27" s="53">
        <f>mirdan!C27+Fullerton!C26</f>
        <v>0</v>
      </c>
      <c r="D27" s="53">
        <f>mirdan!D27+Fullerton!D26</f>
        <v>0</v>
      </c>
      <c r="E27" s="32">
        <f>mirdan!E27+Fullerton!E26</f>
        <v>0</v>
      </c>
      <c r="F27" s="53">
        <f>mirdan!F27+Fullerton!F26</f>
        <v>0</v>
      </c>
      <c r="G27" s="32">
        <f>mirdan!G27+Fullerton!G26</f>
        <v>0</v>
      </c>
      <c r="H27" s="53">
        <f>mirdan!H27+Fullerton!H26</f>
        <v>0</v>
      </c>
      <c r="I27" s="53">
        <f>mirdan!I27+Fullerton!I26</f>
        <v>0</v>
      </c>
      <c r="J27" s="32">
        <f>mirdan!J27+Fullerton!J26</f>
        <v>0</v>
      </c>
      <c r="K27" s="53">
        <f>mirdan!K27+Fullerton!K26</f>
        <v>0</v>
      </c>
      <c r="L27" s="53">
        <f>mirdan!L27+Fullerton!L26</f>
        <v>0</v>
      </c>
      <c r="M27" s="32">
        <f t="shared" si="0"/>
        <v>0</v>
      </c>
      <c r="N27" s="71">
        <f t="shared" si="1"/>
        <v>0</v>
      </c>
      <c r="O27" s="85"/>
    </row>
    <row r="28" spans="1:15">
      <c r="A28" s="71" t="s">
        <v>21</v>
      </c>
      <c r="B28" s="32">
        <f t="shared" ref="B28:I28" si="2">SUM(B16:B27)</f>
        <v>160641</v>
      </c>
      <c r="C28" s="32">
        <f t="shared" si="2"/>
        <v>3601</v>
      </c>
      <c r="D28" s="32">
        <f t="shared" si="2"/>
        <v>71599</v>
      </c>
      <c r="E28" s="32">
        <f t="shared" si="2"/>
        <v>92643</v>
      </c>
      <c r="F28" s="32">
        <f t="shared" si="2"/>
        <v>25284</v>
      </c>
      <c r="G28" s="32">
        <f t="shared" si="2"/>
        <v>18041</v>
      </c>
      <c r="H28" s="32">
        <f t="shared" si="2"/>
        <v>39935</v>
      </c>
      <c r="I28" s="32">
        <f t="shared" si="2"/>
        <v>1436</v>
      </c>
      <c r="J28" s="32">
        <f>H28-I28-L28</f>
        <v>1670</v>
      </c>
      <c r="K28" s="32">
        <f>SUM(K16:K27)</f>
        <v>9383</v>
      </c>
      <c r="L28" s="32">
        <f>SUM(L16:L27)</f>
        <v>36829</v>
      </c>
      <c r="M28" s="32">
        <f>SUM(M16:M27)</f>
        <v>46212</v>
      </c>
      <c r="N28" s="71">
        <f t="shared" si="1"/>
        <v>0.83799999999999997</v>
      </c>
      <c r="O28" s="85"/>
    </row>
    <row r="29" spans="1:15">
      <c r="A29" s="72" t="s">
        <v>22</v>
      </c>
      <c r="B29" s="72" t="s">
        <v>0</v>
      </c>
      <c r="C29" s="72" t="s">
        <v>0</v>
      </c>
      <c r="D29" s="72" t="s">
        <v>0</v>
      </c>
      <c r="E29" s="72">
        <f t="shared" ref="E29:M29" si="3">ROUND(+E28/$K$9,2)</f>
        <v>1.68</v>
      </c>
      <c r="F29" s="72">
        <f t="shared" si="3"/>
        <v>0.46</v>
      </c>
      <c r="G29" s="72">
        <f t="shared" si="3"/>
        <v>0.33</v>
      </c>
      <c r="H29" s="72">
        <f t="shared" si="3"/>
        <v>0.72</v>
      </c>
      <c r="I29" s="72">
        <f t="shared" si="3"/>
        <v>0.03</v>
      </c>
      <c r="J29" s="72">
        <f t="shared" si="3"/>
        <v>0.03</v>
      </c>
      <c r="K29" s="72">
        <f t="shared" si="3"/>
        <v>0.17</v>
      </c>
      <c r="L29" s="72">
        <f t="shared" si="3"/>
        <v>0.67</v>
      </c>
      <c r="M29" s="72">
        <f t="shared" si="3"/>
        <v>0.84</v>
      </c>
      <c r="N29" s="71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4">E28/$E$28*100</f>
        <v>100</v>
      </c>
      <c r="F30" s="39">
        <f t="shared" si="4"/>
        <v>27.291862310158351</v>
      </c>
      <c r="G30" s="39">
        <f t="shared" si="4"/>
        <v>19.473678529408588</v>
      </c>
      <c r="H30" s="39">
        <f t="shared" si="4"/>
        <v>43.106332912362511</v>
      </c>
      <c r="I30" s="39">
        <f t="shared" si="4"/>
        <v>1.5500361603143249</v>
      </c>
      <c r="J30" s="39">
        <f t="shared" si="4"/>
        <v>1.8026186544045424</v>
      </c>
      <c r="K30" s="39">
        <f t="shared" si="4"/>
        <v>10.128126248070551</v>
      </c>
      <c r="L30" s="39">
        <f t="shared" si="4"/>
        <v>39.753678097643643</v>
      </c>
      <c r="M30" s="39">
        <f t="shared" si="4"/>
        <v>49.881804345714194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75" t="s">
        <v>173</v>
      </c>
      <c r="J36" s="74"/>
      <c r="K36" s="74"/>
      <c r="L36" s="74"/>
      <c r="M36" s="74"/>
      <c r="N36" s="74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  <c r="O37" s="77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6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O38"/>
  <sheetViews>
    <sheetView showOutlineSymbols="0" zoomScale="87" zoomScaleNormal="87" workbookViewId="0">
      <selection activeCell="P21" sqref="P21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4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7"/>
      <c r="N7" s="7"/>
    </row>
    <row r="8" spans="1:15" ht="18">
      <c r="A8" s="8" t="s">
        <v>4</v>
      </c>
      <c r="B8" s="2" t="s">
        <v>25</v>
      </c>
      <c r="C8" s="2"/>
      <c r="D8" s="2"/>
      <c r="E8" s="2"/>
      <c r="F8" s="2"/>
      <c r="G8" s="8" t="s">
        <v>56</v>
      </c>
      <c r="H8" s="2"/>
      <c r="I8" s="2" t="s">
        <v>63</v>
      </c>
      <c r="J8" s="2"/>
      <c r="K8" s="2"/>
      <c r="L8" s="2"/>
      <c r="M8" s="9"/>
      <c r="N8" s="9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08">
        <v>34626</v>
      </c>
      <c r="L9" s="11"/>
      <c r="M9" s="13" t="s">
        <v>77</v>
      </c>
      <c r="N9" s="109">
        <v>2020</v>
      </c>
    </row>
    <row r="10" spans="1:15" ht="18">
      <c r="A10" s="10" t="s">
        <v>6</v>
      </c>
      <c r="B10" s="11" t="s">
        <v>27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4"/>
      <c r="N10" s="14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6" t="s">
        <v>78</v>
      </c>
      <c r="N11" s="16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26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30" t="s">
        <v>9</v>
      </c>
      <c r="B16" s="110">
        <v>0</v>
      </c>
      <c r="C16" s="204">
        <v>0</v>
      </c>
      <c r="D16" s="204">
        <v>0</v>
      </c>
      <c r="E16" s="32">
        <f t="shared" ref="E16:E27" si="0">B16+C16-D16</f>
        <v>0</v>
      </c>
      <c r="F16" s="110">
        <v>0</v>
      </c>
      <c r="G16" s="32">
        <f t="shared" ref="G16:G27" si="1">E16-F16-H16-K16</f>
        <v>0</v>
      </c>
      <c r="H16" s="110">
        <v>0</v>
      </c>
      <c r="I16" s="110">
        <v>0</v>
      </c>
      <c r="J16" s="32">
        <f t="shared" ref="J16:J27" si="2">H16-I16-L16</f>
        <v>0</v>
      </c>
      <c r="K16" s="110">
        <v>0</v>
      </c>
      <c r="L16" s="110">
        <v>0</v>
      </c>
      <c r="M16" s="33">
        <f t="shared" ref="M16:M27" si="3">SUM(K16:L16)</f>
        <v>0</v>
      </c>
      <c r="N16" s="34">
        <f t="shared" ref="N16:N27" si="4">ROUND(+M16/$K$9,3)</f>
        <v>0</v>
      </c>
      <c r="O16" s="17"/>
    </row>
    <row r="17" spans="1:15">
      <c r="A17" s="30" t="s">
        <v>10</v>
      </c>
      <c r="B17" s="110">
        <v>0</v>
      </c>
      <c r="C17" s="204">
        <v>0</v>
      </c>
      <c r="D17" s="204">
        <v>0</v>
      </c>
      <c r="E17" s="32">
        <f t="shared" si="0"/>
        <v>0</v>
      </c>
      <c r="F17" s="110">
        <v>0</v>
      </c>
      <c r="G17" s="32">
        <f t="shared" si="1"/>
        <v>0</v>
      </c>
      <c r="H17" s="110">
        <v>0</v>
      </c>
      <c r="I17" s="110">
        <v>0</v>
      </c>
      <c r="J17" s="32">
        <f t="shared" si="2"/>
        <v>0</v>
      </c>
      <c r="K17" s="110">
        <v>0</v>
      </c>
      <c r="L17" s="110">
        <v>0</v>
      </c>
      <c r="M17" s="33">
        <f t="shared" si="3"/>
        <v>0</v>
      </c>
      <c r="N17" s="34">
        <f t="shared" si="4"/>
        <v>0</v>
      </c>
      <c r="O17" s="17"/>
    </row>
    <row r="18" spans="1:15">
      <c r="A18" s="30" t="s">
        <v>11</v>
      </c>
      <c r="B18" s="110">
        <v>0</v>
      </c>
      <c r="C18" s="204">
        <v>0</v>
      </c>
      <c r="D18" s="204">
        <v>0</v>
      </c>
      <c r="E18" s="32">
        <f t="shared" si="0"/>
        <v>0</v>
      </c>
      <c r="F18" s="110">
        <v>0</v>
      </c>
      <c r="G18" s="32">
        <f t="shared" si="1"/>
        <v>0</v>
      </c>
      <c r="H18" s="110">
        <v>0</v>
      </c>
      <c r="I18" s="110">
        <v>0</v>
      </c>
      <c r="J18" s="32">
        <f t="shared" si="2"/>
        <v>0</v>
      </c>
      <c r="K18" s="110">
        <v>0</v>
      </c>
      <c r="L18" s="110">
        <v>0</v>
      </c>
      <c r="M18" s="33">
        <f t="shared" si="3"/>
        <v>0</v>
      </c>
      <c r="N18" s="34">
        <f t="shared" si="4"/>
        <v>0</v>
      </c>
      <c r="O18" s="17"/>
    </row>
    <row r="19" spans="1:15">
      <c r="A19" s="30" t="s">
        <v>12</v>
      </c>
      <c r="B19" s="110">
        <v>0</v>
      </c>
      <c r="C19" s="204">
        <v>0</v>
      </c>
      <c r="D19" s="204">
        <v>0</v>
      </c>
      <c r="E19" s="32">
        <f t="shared" si="0"/>
        <v>0</v>
      </c>
      <c r="F19" s="110">
        <v>0</v>
      </c>
      <c r="G19" s="32">
        <f t="shared" si="1"/>
        <v>0</v>
      </c>
      <c r="H19" s="110">
        <v>0</v>
      </c>
      <c r="I19" s="110">
        <v>0</v>
      </c>
      <c r="J19" s="32">
        <f t="shared" si="2"/>
        <v>0</v>
      </c>
      <c r="K19" s="110">
        <v>0</v>
      </c>
      <c r="L19" s="110">
        <v>0</v>
      </c>
      <c r="M19" s="33">
        <f t="shared" si="3"/>
        <v>0</v>
      </c>
      <c r="N19" s="34">
        <f t="shared" si="4"/>
        <v>0</v>
      </c>
      <c r="O19" s="17"/>
    </row>
    <row r="20" spans="1:15">
      <c r="A20" s="30" t="s">
        <v>13</v>
      </c>
      <c r="B20" s="110">
        <v>1702</v>
      </c>
      <c r="C20" s="204">
        <v>0</v>
      </c>
      <c r="D20" s="204">
        <v>0</v>
      </c>
      <c r="E20" s="32">
        <f t="shared" si="0"/>
        <v>1702</v>
      </c>
      <c r="F20" s="110">
        <v>122</v>
      </c>
      <c r="G20" s="32">
        <f t="shared" si="1"/>
        <v>600</v>
      </c>
      <c r="H20" s="110">
        <v>980</v>
      </c>
      <c r="I20" s="110">
        <v>350</v>
      </c>
      <c r="J20" s="32">
        <f t="shared" si="2"/>
        <v>630</v>
      </c>
      <c r="K20" s="110">
        <v>0</v>
      </c>
      <c r="L20" s="110">
        <v>0</v>
      </c>
      <c r="M20" s="33">
        <f t="shared" si="3"/>
        <v>0</v>
      </c>
      <c r="N20" s="34">
        <f t="shared" si="4"/>
        <v>0</v>
      </c>
      <c r="O20" s="17"/>
    </row>
    <row r="21" spans="1:15">
      <c r="A21" s="30" t="s">
        <v>14</v>
      </c>
      <c r="B21" s="110">
        <v>7840</v>
      </c>
      <c r="C21" s="204">
        <v>0</v>
      </c>
      <c r="D21" s="204">
        <v>0</v>
      </c>
      <c r="E21" s="32">
        <f t="shared" si="0"/>
        <v>7840</v>
      </c>
      <c r="F21" s="110">
        <v>492</v>
      </c>
      <c r="G21" s="32">
        <f t="shared" si="1"/>
        <v>1148</v>
      </c>
      <c r="H21" s="110">
        <v>6200</v>
      </c>
      <c r="I21" s="110">
        <v>1860</v>
      </c>
      <c r="J21" s="32">
        <f t="shared" si="2"/>
        <v>3528</v>
      </c>
      <c r="K21" s="110">
        <v>0</v>
      </c>
      <c r="L21" s="110">
        <v>812</v>
      </c>
      <c r="M21" s="33">
        <f t="shared" si="3"/>
        <v>812</v>
      </c>
      <c r="N21" s="34">
        <f t="shared" si="4"/>
        <v>2.3E-2</v>
      </c>
      <c r="O21" s="17"/>
    </row>
    <row r="22" spans="1:15">
      <c r="A22" s="30" t="s">
        <v>15</v>
      </c>
      <c r="B22" s="110">
        <v>18516</v>
      </c>
      <c r="C22" s="204">
        <v>0</v>
      </c>
      <c r="D22" s="204">
        <v>0</v>
      </c>
      <c r="E22" s="32">
        <f t="shared" si="0"/>
        <v>18516</v>
      </c>
      <c r="F22" s="110">
        <v>300</v>
      </c>
      <c r="G22" s="32">
        <f t="shared" si="1"/>
        <v>560</v>
      </c>
      <c r="H22" s="110">
        <v>17656</v>
      </c>
      <c r="I22" s="110">
        <v>1606</v>
      </c>
      <c r="J22" s="32">
        <f t="shared" si="2"/>
        <v>7761</v>
      </c>
      <c r="K22" s="110">
        <v>0</v>
      </c>
      <c r="L22" s="110">
        <v>8289</v>
      </c>
      <c r="M22" s="33">
        <f t="shared" si="3"/>
        <v>8289</v>
      </c>
      <c r="N22" s="34">
        <f t="shared" si="4"/>
        <v>0.23899999999999999</v>
      </c>
      <c r="O22" s="17"/>
    </row>
    <row r="23" spans="1:15">
      <c r="A23" s="30" t="s">
        <v>16</v>
      </c>
      <c r="B23" s="110">
        <v>29226</v>
      </c>
      <c r="C23" s="204">
        <v>0</v>
      </c>
      <c r="D23" s="204">
        <v>0</v>
      </c>
      <c r="E23" s="32">
        <f t="shared" si="0"/>
        <v>29226</v>
      </c>
      <c r="F23" s="110">
        <v>300</v>
      </c>
      <c r="G23" s="32">
        <f t="shared" si="1"/>
        <v>255</v>
      </c>
      <c r="H23" s="110">
        <v>28671</v>
      </c>
      <c r="I23" s="110">
        <v>3102</v>
      </c>
      <c r="J23" s="32">
        <f t="shared" si="2"/>
        <v>7238</v>
      </c>
      <c r="K23" s="110">
        <v>0</v>
      </c>
      <c r="L23" s="110">
        <v>18331</v>
      </c>
      <c r="M23" s="33">
        <f t="shared" si="3"/>
        <v>18331</v>
      </c>
      <c r="N23" s="34">
        <f t="shared" si="4"/>
        <v>0.52900000000000003</v>
      </c>
      <c r="O23" s="17"/>
    </row>
    <row r="24" spans="1:15">
      <c r="A24" s="30" t="s">
        <v>17</v>
      </c>
      <c r="B24" s="110">
        <v>10435</v>
      </c>
      <c r="C24" s="204">
        <v>0</v>
      </c>
      <c r="D24" s="204">
        <v>0</v>
      </c>
      <c r="E24" s="32">
        <f t="shared" si="0"/>
        <v>10435</v>
      </c>
      <c r="F24" s="110">
        <v>125</v>
      </c>
      <c r="G24" s="32">
        <f t="shared" si="1"/>
        <v>200</v>
      </c>
      <c r="H24" s="110">
        <v>10110</v>
      </c>
      <c r="I24" s="110">
        <v>1210</v>
      </c>
      <c r="J24" s="32">
        <f t="shared" si="2"/>
        <v>2823</v>
      </c>
      <c r="K24" s="110">
        <v>0</v>
      </c>
      <c r="L24" s="110">
        <v>6077</v>
      </c>
      <c r="M24" s="33">
        <f t="shared" si="3"/>
        <v>6077</v>
      </c>
      <c r="N24" s="34">
        <f t="shared" si="4"/>
        <v>0.17599999999999999</v>
      </c>
      <c r="O24" s="17"/>
    </row>
    <row r="25" spans="1:15">
      <c r="A25" s="30" t="s">
        <v>18</v>
      </c>
      <c r="B25" s="110">
        <v>0</v>
      </c>
      <c r="C25" s="204">
        <v>0</v>
      </c>
      <c r="D25" s="204">
        <v>0</v>
      </c>
      <c r="E25" s="32">
        <f t="shared" si="0"/>
        <v>0</v>
      </c>
      <c r="F25" s="110">
        <v>0</v>
      </c>
      <c r="G25" s="32">
        <f t="shared" si="1"/>
        <v>0</v>
      </c>
      <c r="H25" s="110">
        <v>0</v>
      </c>
      <c r="I25" s="110">
        <v>0</v>
      </c>
      <c r="J25" s="32">
        <f t="shared" si="2"/>
        <v>0</v>
      </c>
      <c r="K25" s="110">
        <v>0</v>
      </c>
      <c r="L25" s="110">
        <v>0</v>
      </c>
      <c r="M25" s="33">
        <f t="shared" si="3"/>
        <v>0</v>
      </c>
      <c r="N25" s="34">
        <f t="shared" si="4"/>
        <v>0</v>
      </c>
      <c r="O25" s="17"/>
    </row>
    <row r="26" spans="1:15">
      <c r="A26" s="30" t="s">
        <v>19</v>
      </c>
      <c r="B26" s="110">
        <v>0</v>
      </c>
      <c r="C26" s="204">
        <v>0</v>
      </c>
      <c r="D26" s="204">
        <v>0</v>
      </c>
      <c r="E26" s="32">
        <f t="shared" si="0"/>
        <v>0</v>
      </c>
      <c r="F26" s="110">
        <v>0</v>
      </c>
      <c r="G26" s="32">
        <f t="shared" si="1"/>
        <v>0</v>
      </c>
      <c r="H26" s="110">
        <v>0</v>
      </c>
      <c r="I26" s="110">
        <v>0</v>
      </c>
      <c r="J26" s="32">
        <f t="shared" si="2"/>
        <v>0</v>
      </c>
      <c r="K26" s="110">
        <v>0</v>
      </c>
      <c r="L26" s="110">
        <v>0</v>
      </c>
      <c r="M26" s="33">
        <f t="shared" si="3"/>
        <v>0</v>
      </c>
      <c r="N26" s="34">
        <f t="shared" si="4"/>
        <v>0</v>
      </c>
      <c r="O26" s="17"/>
    </row>
    <row r="27" spans="1:15">
      <c r="A27" s="30" t="s">
        <v>20</v>
      </c>
      <c r="B27" s="110">
        <v>0</v>
      </c>
      <c r="C27" s="204">
        <v>0</v>
      </c>
      <c r="D27" s="204">
        <v>0</v>
      </c>
      <c r="E27" s="32">
        <f t="shared" si="0"/>
        <v>0</v>
      </c>
      <c r="F27" s="110">
        <v>0</v>
      </c>
      <c r="G27" s="32">
        <f t="shared" si="1"/>
        <v>0</v>
      </c>
      <c r="H27" s="110">
        <v>0</v>
      </c>
      <c r="I27" s="110">
        <v>0</v>
      </c>
      <c r="J27" s="32">
        <f t="shared" si="2"/>
        <v>0</v>
      </c>
      <c r="K27" s="110">
        <v>0</v>
      </c>
      <c r="L27" s="110">
        <v>0</v>
      </c>
      <c r="M27" s="33">
        <f t="shared" si="3"/>
        <v>0</v>
      </c>
      <c r="N27" s="34">
        <f t="shared" si="4"/>
        <v>0</v>
      </c>
      <c r="O27" s="17"/>
    </row>
    <row r="28" spans="1:15" ht="15.75" thickBot="1">
      <c r="A28" s="30" t="s">
        <v>21</v>
      </c>
      <c r="B28" s="111">
        <f t="shared" ref="B28:N28" si="5">SUM(B16:B27)</f>
        <v>67719</v>
      </c>
      <c r="C28" s="209">
        <f t="shared" si="5"/>
        <v>0</v>
      </c>
      <c r="D28" s="209">
        <f t="shared" si="5"/>
        <v>0</v>
      </c>
      <c r="E28" s="32">
        <f t="shared" si="5"/>
        <v>67719</v>
      </c>
      <c r="F28" s="112">
        <f t="shared" si="5"/>
        <v>1339</v>
      </c>
      <c r="G28" s="32">
        <f t="shared" si="5"/>
        <v>2763</v>
      </c>
      <c r="H28" s="111">
        <f t="shared" si="5"/>
        <v>63617</v>
      </c>
      <c r="I28" s="111">
        <f t="shared" si="5"/>
        <v>8128</v>
      </c>
      <c r="J28" s="32">
        <f t="shared" si="5"/>
        <v>21980</v>
      </c>
      <c r="K28" s="111">
        <f t="shared" si="5"/>
        <v>0</v>
      </c>
      <c r="L28" s="111">
        <f t="shared" si="5"/>
        <v>33509</v>
      </c>
      <c r="M28" s="33">
        <f t="shared" si="5"/>
        <v>33509</v>
      </c>
      <c r="N28" s="35">
        <f t="shared" si="5"/>
        <v>0.96700000000000008</v>
      </c>
      <c r="O28" s="17"/>
    </row>
    <row r="29" spans="1:15" ht="15.75" thickTop="1">
      <c r="A29" s="15" t="s">
        <v>22</v>
      </c>
      <c r="B29" s="36" t="s">
        <v>0</v>
      </c>
      <c r="C29" s="36" t="s">
        <v>0</v>
      </c>
      <c r="D29" s="36" t="s">
        <v>0</v>
      </c>
      <c r="E29" s="36">
        <f>ROUND(+E28/$K$9,2)</f>
        <v>1.96</v>
      </c>
      <c r="F29" s="36">
        <f>ROUND(+F28/$K$9,2)</f>
        <v>0.04</v>
      </c>
      <c r="G29" s="36">
        <f>ROUND(E29-F29-H29-K29,2)</f>
        <v>0.08</v>
      </c>
      <c r="H29" s="36">
        <f>ROUND(+H28/$K$9,2)</f>
        <v>1.84</v>
      </c>
      <c r="I29" s="36">
        <f>ROUND(+I28/$K$9,2)</f>
        <v>0.23</v>
      </c>
      <c r="J29" s="36">
        <f>ROUND(H29-I29-L29,2)</f>
        <v>0.64</v>
      </c>
      <c r="K29" s="36">
        <f>M29-L29</f>
        <v>0</v>
      </c>
      <c r="L29" s="36">
        <f>ROUND(+L28/$K$9,2)</f>
        <v>0.97</v>
      </c>
      <c r="M29" s="37">
        <f>ROUND(+M28/$K$9,2)</f>
        <v>0.97</v>
      </c>
      <c r="N29" s="38"/>
      <c r="O29" s="17"/>
    </row>
    <row r="30" spans="1:15">
      <c r="A30" s="30" t="s">
        <v>23</v>
      </c>
      <c r="B30" s="39" t="s">
        <v>0</v>
      </c>
      <c r="C30" s="39" t="s">
        <v>0</v>
      </c>
      <c r="D30" s="39" t="s">
        <v>0</v>
      </c>
      <c r="E30" s="39">
        <f>ROUND(E28/$E$28*100,1)</f>
        <v>100</v>
      </c>
      <c r="F30" s="39">
        <f>ROUND(+F28/$E$28*100,1)</f>
        <v>2</v>
      </c>
      <c r="G30" s="39">
        <f>ROUND(E30-F30-H30-K30,1)</f>
        <v>4.0999999999999996</v>
      </c>
      <c r="H30" s="39">
        <f>ROUND(+H28/$E$28*100,1)</f>
        <v>93.9</v>
      </c>
      <c r="I30" s="39">
        <f>ROUND(+I28/$E$28*100,1)</f>
        <v>12</v>
      </c>
      <c r="J30" s="39">
        <f>ROUND(H30-I30-L30,1)</f>
        <v>32.4</v>
      </c>
      <c r="K30" s="39">
        <f>ROUND(M30-L30,1)</f>
        <v>0</v>
      </c>
      <c r="L30" s="39">
        <f>ROUND(+L28/$E$28*100,1)</f>
        <v>49.5</v>
      </c>
      <c r="M30" s="40">
        <f>ROUND(+M28/$E$28*100,1)</f>
        <v>49.5</v>
      </c>
      <c r="N30" s="34"/>
      <c r="O30" s="17"/>
    </row>
    <row r="31" spans="1:15">
      <c r="A31" s="19" t="s">
        <v>24</v>
      </c>
      <c r="B31" s="19" t="s">
        <v>33</v>
      </c>
      <c r="C31" s="41"/>
      <c r="D31" s="41"/>
      <c r="E31" s="41"/>
      <c r="F31" s="41"/>
      <c r="G31" s="41"/>
      <c r="H31" s="41"/>
      <c r="I31" s="19" t="s">
        <v>66</v>
      </c>
      <c r="J31" s="41"/>
      <c r="K31" s="41"/>
      <c r="L31" s="41"/>
      <c r="M31" s="42"/>
      <c r="N31" s="42"/>
    </row>
    <row r="32" spans="1:15">
      <c r="A32" s="24"/>
      <c r="B32" s="24" t="s">
        <v>34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</row>
    <row r="35" spans="1:15">
      <c r="A35" s="43" t="s">
        <v>0</v>
      </c>
      <c r="B35" s="3"/>
      <c r="C35" s="3"/>
      <c r="D35" s="3"/>
      <c r="E35" s="3"/>
      <c r="F35" s="3"/>
      <c r="G35" s="3"/>
      <c r="H35" s="3"/>
      <c r="I35" s="3"/>
      <c r="J35" s="24"/>
      <c r="K35" s="3"/>
      <c r="L35" s="3"/>
      <c r="M35" s="44"/>
      <c r="N35" s="44"/>
      <c r="O35" s="44"/>
    </row>
    <row r="36" spans="1:15">
      <c r="A36" s="3"/>
      <c r="B36" s="3"/>
      <c r="C36" s="3" t="s">
        <v>0</v>
      </c>
      <c r="D36" s="3" t="s">
        <v>0</v>
      </c>
      <c r="E36" s="45" t="s">
        <v>0</v>
      </c>
      <c r="F36" s="3"/>
      <c r="G36" s="3"/>
      <c r="H36" s="3"/>
      <c r="I36" s="3"/>
      <c r="J36" s="3"/>
      <c r="K36" s="3"/>
      <c r="L36" s="3"/>
    </row>
    <row r="37" spans="1:15">
      <c r="C37" s="46" t="s">
        <v>0</v>
      </c>
      <c r="D37" s="46" t="s">
        <v>0</v>
      </c>
      <c r="E37" s="47" t="s">
        <v>0</v>
      </c>
    </row>
    <row r="38" spans="1:15">
      <c r="C38" s="46" t="s">
        <v>0</v>
      </c>
      <c r="D38" s="46" t="s">
        <v>0</v>
      </c>
      <c r="E38" s="48" t="s">
        <v>0</v>
      </c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1" manualBreakCount="1">
    <brk id="34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O38"/>
  <sheetViews>
    <sheetView showOutlineSymbols="0" zoomScale="87" zoomScaleNormal="87" workbookViewId="0">
      <selection activeCell="U32" sqref="U32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3" width="7.6640625" style="78" customWidth="1"/>
    <col min="14" max="14" width="8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 t="s">
        <v>0</v>
      </c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164</v>
      </c>
      <c r="C8" s="74"/>
      <c r="D8" s="74"/>
      <c r="E8" s="74"/>
      <c r="F8" s="74"/>
      <c r="G8" s="82" t="s">
        <v>56</v>
      </c>
      <c r="H8" s="74"/>
      <c r="I8" s="74" t="s">
        <v>167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165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9340</v>
      </c>
      <c r="L9" s="84"/>
      <c r="M9" s="83" t="s">
        <v>77</v>
      </c>
      <c r="N9" s="122">
        <v>2020</v>
      </c>
    </row>
    <row r="10" spans="1:15" ht="18">
      <c r="A10" s="83" t="s">
        <v>6</v>
      </c>
      <c r="B10" s="84" t="s">
        <v>166</v>
      </c>
      <c r="C10" s="84"/>
      <c r="D10" s="84"/>
      <c r="E10" s="84"/>
      <c r="F10" s="84"/>
      <c r="G10" s="83" t="s">
        <v>58</v>
      </c>
      <c r="H10" s="84"/>
      <c r="I10" s="84"/>
      <c r="J10" s="84"/>
      <c r="K10" s="91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1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SUM(K16:L16)</f>
        <v>0</v>
      </c>
      <c r="N16" s="71">
        <f t="shared" ref="N16:N28" si="4">ROUND(+M16/$K$9,3)</f>
        <v>0</v>
      </c>
      <c r="O16" s="85"/>
    </row>
    <row r="17" spans="1:15">
      <c r="A17" s="71" t="s">
        <v>10</v>
      </c>
      <c r="B17" s="111">
        <v>0</v>
      </c>
      <c r="C17" s="111">
        <v>0</v>
      </c>
      <c r="D17" s="111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>
        <f t="shared" si="4"/>
        <v>0</v>
      </c>
      <c r="O17" s="85"/>
    </row>
    <row r="18" spans="1:15">
      <c r="A18" s="71" t="s">
        <v>11</v>
      </c>
      <c r="B18" s="111">
        <v>0</v>
      </c>
      <c r="C18" s="111">
        <v>0</v>
      </c>
      <c r="D18" s="111">
        <v>0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>
        <f t="shared" si="4"/>
        <v>0</v>
      </c>
      <c r="O18" s="85"/>
    </row>
    <row r="19" spans="1:15">
      <c r="A19" s="71" t="s">
        <v>12</v>
      </c>
      <c r="B19" s="111">
        <v>0</v>
      </c>
      <c r="C19" s="111">
        <v>0</v>
      </c>
      <c r="D19" s="111">
        <v>0</v>
      </c>
      <c r="E19" s="32">
        <f t="shared" si="0"/>
        <v>0</v>
      </c>
      <c r="F19" s="111">
        <v>0</v>
      </c>
      <c r="G19" s="32">
        <f t="shared" si="1"/>
        <v>0</v>
      </c>
      <c r="H19" s="111">
        <v>0</v>
      </c>
      <c r="I19" s="111">
        <v>0</v>
      </c>
      <c r="J19" s="32">
        <f t="shared" si="2"/>
        <v>0</v>
      </c>
      <c r="K19" s="111">
        <v>0</v>
      </c>
      <c r="L19" s="111">
        <v>0</v>
      </c>
      <c r="M19" s="32">
        <f t="shared" si="3"/>
        <v>0</v>
      </c>
      <c r="N19" s="71">
        <f t="shared" si="4"/>
        <v>0</v>
      </c>
      <c r="O19" s="85"/>
    </row>
    <row r="20" spans="1:15">
      <c r="A20" s="71" t="s">
        <v>13</v>
      </c>
      <c r="B20" s="111">
        <v>0</v>
      </c>
      <c r="C20" s="111">
        <v>0</v>
      </c>
      <c r="D20" s="111">
        <v>0</v>
      </c>
      <c r="E20" s="32">
        <f t="shared" si="0"/>
        <v>0</v>
      </c>
      <c r="F20" s="111">
        <v>0</v>
      </c>
      <c r="G20" s="32">
        <f t="shared" si="1"/>
        <v>0</v>
      </c>
      <c r="H20" s="111">
        <v>0</v>
      </c>
      <c r="I20" s="111">
        <v>0</v>
      </c>
      <c r="J20" s="32">
        <f t="shared" si="2"/>
        <v>0</v>
      </c>
      <c r="K20" s="111">
        <v>0</v>
      </c>
      <c r="L20" s="111">
        <v>0</v>
      </c>
      <c r="M20" s="32">
        <f t="shared" si="3"/>
        <v>0</v>
      </c>
      <c r="N20" s="71">
        <f t="shared" si="4"/>
        <v>0</v>
      </c>
      <c r="O20" s="85"/>
    </row>
    <row r="21" spans="1:15">
      <c r="A21" s="71" t="s">
        <v>14</v>
      </c>
      <c r="B21" s="111">
        <v>3550</v>
      </c>
      <c r="C21" s="111">
        <v>0</v>
      </c>
      <c r="D21" s="111">
        <v>0</v>
      </c>
      <c r="E21" s="32">
        <f t="shared" si="0"/>
        <v>3550</v>
      </c>
      <c r="F21" s="111">
        <v>0</v>
      </c>
      <c r="G21" s="32">
        <f t="shared" si="1"/>
        <v>1142</v>
      </c>
      <c r="H21" s="111">
        <v>2375</v>
      </c>
      <c r="I21" s="111">
        <v>153</v>
      </c>
      <c r="J21" s="32">
        <f t="shared" si="2"/>
        <v>918</v>
      </c>
      <c r="K21" s="111">
        <v>33</v>
      </c>
      <c r="L21" s="111">
        <v>1304</v>
      </c>
      <c r="M21" s="32">
        <f t="shared" si="3"/>
        <v>1337</v>
      </c>
      <c r="N21" s="71">
        <f t="shared" si="4"/>
        <v>0.14299999999999999</v>
      </c>
      <c r="O21" s="85"/>
    </row>
    <row r="22" spans="1:15">
      <c r="A22" s="71" t="s">
        <v>15</v>
      </c>
      <c r="B22" s="111">
        <v>7759</v>
      </c>
      <c r="C22" s="111">
        <v>0</v>
      </c>
      <c r="D22" s="111">
        <v>0</v>
      </c>
      <c r="E22" s="32">
        <f t="shared" si="0"/>
        <v>7759</v>
      </c>
      <c r="F22" s="213">
        <v>0</v>
      </c>
      <c r="G22" s="32">
        <f t="shared" si="1"/>
        <v>1403</v>
      </c>
      <c r="H22" s="214">
        <v>6285</v>
      </c>
      <c r="I22" s="215">
        <v>248</v>
      </c>
      <c r="J22" s="32">
        <f t="shared" si="2"/>
        <v>2023</v>
      </c>
      <c r="K22" s="216">
        <v>71</v>
      </c>
      <c r="L22" s="217">
        <v>4014</v>
      </c>
      <c r="M22" s="32">
        <f t="shared" si="3"/>
        <v>4085</v>
      </c>
      <c r="N22" s="71">
        <f t="shared" si="4"/>
        <v>0.437</v>
      </c>
      <c r="O22" s="85"/>
    </row>
    <row r="23" spans="1:15">
      <c r="A23" s="71" t="s">
        <v>16</v>
      </c>
      <c r="B23" s="111">
        <v>6190</v>
      </c>
      <c r="C23" s="111">
        <v>0</v>
      </c>
      <c r="D23" s="111">
        <v>0</v>
      </c>
      <c r="E23" s="32">
        <f t="shared" si="0"/>
        <v>6190</v>
      </c>
      <c r="F23" s="213">
        <v>0</v>
      </c>
      <c r="G23" s="32">
        <f t="shared" si="1"/>
        <v>823</v>
      </c>
      <c r="H23" s="214">
        <v>5262</v>
      </c>
      <c r="I23" s="215">
        <v>181</v>
      </c>
      <c r="J23" s="32">
        <f t="shared" si="2"/>
        <v>1713</v>
      </c>
      <c r="K23" s="216">
        <v>105</v>
      </c>
      <c r="L23" s="217">
        <v>3368</v>
      </c>
      <c r="M23" s="32">
        <f t="shared" si="3"/>
        <v>3473</v>
      </c>
      <c r="N23" s="71">
        <f t="shared" si="4"/>
        <v>0.372</v>
      </c>
      <c r="O23" s="85"/>
    </row>
    <row r="24" spans="1:15">
      <c r="A24" s="71" t="s">
        <v>17</v>
      </c>
      <c r="B24" s="111">
        <v>0</v>
      </c>
      <c r="C24" s="111">
        <v>0</v>
      </c>
      <c r="D24" s="111">
        <v>0</v>
      </c>
      <c r="E24" s="32">
        <f t="shared" si="0"/>
        <v>0</v>
      </c>
      <c r="F24" s="213">
        <v>0</v>
      </c>
      <c r="G24" s="32">
        <f t="shared" si="1"/>
        <v>0</v>
      </c>
      <c r="H24" s="214">
        <v>0</v>
      </c>
      <c r="I24" s="215">
        <v>0</v>
      </c>
      <c r="J24" s="32">
        <f t="shared" si="2"/>
        <v>0</v>
      </c>
      <c r="K24" s="216">
        <v>0</v>
      </c>
      <c r="L24" s="217">
        <v>0</v>
      </c>
      <c r="M24" s="32">
        <f t="shared" si="3"/>
        <v>0</v>
      </c>
      <c r="N24" s="71">
        <f t="shared" si="4"/>
        <v>0</v>
      </c>
      <c r="O24" s="85"/>
    </row>
    <row r="25" spans="1:15">
      <c r="A25" s="71" t="s">
        <v>18</v>
      </c>
      <c r="B25" s="111">
        <v>0</v>
      </c>
      <c r="C25" s="111">
        <v>0</v>
      </c>
      <c r="D25" s="111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>
        <f t="shared" si="4"/>
        <v>0</v>
      </c>
      <c r="O25" s="85"/>
    </row>
    <row r="26" spans="1:15">
      <c r="A26" s="71" t="s">
        <v>19</v>
      </c>
      <c r="B26" s="111">
        <v>0</v>
      </c>
      <c r="C26" s="111">
        <v>0</v>
      </c>
      <c r="D26" s="111"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>
        <f t="shared" si="4"/>
        <v>0</v>
      </c>
      <c r="O26" s="85"/>
    </row>
    <row r="27" spans="1:15">
      <c r="A27" s="71" t="s">
        <v>20</v>
      </c>
      <c r="B27" s="111">
        <v>0</v>
      </c>
      <c r="C27" s="111">
        <v>0</v>
      </c>
      <c r="D27" s="111"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>
        <f t="shared" si="4"/>
        <v>0</v>
      </c>
      <c r="O27" s="85"/>
    </row>
    <row r="28" spans="1:15" ht="15.75" thickBot="1">
      <c r="A28" s="71" t="s">
        <v>21</v>
      </c>
      <c r="B28" s="177">
        <f>SUM(B16:B27)</f>
        <v>17499</v>
      </c>
      <c r="C28" s="177">
        <f>SUM(C16:C27)</f>
        <v>0</v>
      </c>
      <c r="D28" s="177">
        <f>SUM(D16:D27)</f>
        <v>0</v>
      </c>
      <c r="E28" s="177">
        <f>SUM(E16:E27)</f>
        <v>17499</v>
      </c>
      <c r="F28" s="177">
        <f>SUM(F16:F27)</f>
        <v>0</v>
      </c>
      <c r="G28" s="177">
        <f t="shared" si="1"/>
        <v>3368</v>
      </c>
      <c r="H28" s="177">
        <f>SUM(H16:H27)</f>
        <v>13922</v>
      </c>
      <c r="I28" s="177">
        <f>SUM(I16:I27)</f>
        <v>582</v>
      </c>
      <c r="J28" s="177">
        <f t="shared" si="2"/>
        <v>4654</v>
      </c>
      <c r="K28" s="177">
        <f>SUM(K16:K27)</f>
        <v>209</v>
      </c>
      <c r="L28" s="177">
        <f>SUM(L16:L27)</f>
        <v>8686</v>
      </c>
      <c r="M28" s="177">
        <f>SUM(M16:M27)</f>
        <v>8895</v>
      </c>
      <c r="N28" s="178">
        <f t="shared" si="4"/>
        <v>0.95199999999999996</v>
      </c>
      <c r="O28" s="85"/>
    </row>
    <row r="29" spans="1:15" ht="15.75" thickTop="1">
      <c r="A29" s="72" t="s">
        <v>110</v>
      </c>
      <c r="B29" s="88" t="s">
        <v>0</v>
      </c>
      <c r="C29" s="88" t="s">
        <v>0</v>
      </c>
      <c r="D29" s="88" t="s">
        <v>0</v>
      </c>
      <c r="E29" s="88">
        <f t="shared" ref="E29:M29" si="5">ROUND(+E28/$K$9,2)</f>
        <v>1.87</v>
      </c>
      <c r="F29" s="88">
        <f t="shared" si="5"/>
        <v>0</v>
      </c>
      <c r="G29" s="88">
        <f t="shared" si="5"/>
        <v>0.36</v>
      </c>
      <c r="H29" s="88">
        <f t="shared" si="5"/>
        <v>1.49</v>
      </c>
      <c r="I29" s="88">
        <f t="shared" si="5"/>
        <v>0.06</v>
      </c>
      <c r="J29" s="88">
        <f t="shared" si="5"/>
        <v>0.5</v>
      </c>
      <c r="K29" s="88">
        <f t="shared" si="5"/>
        <v>0.02</v>
      </c>
      <c r="L29" s="88">
        <f t="shared" si="5"/>
        <v>0.93</v>
      </c>
      <c r="M29" s="88">
        <f t="shared" si="5"/>
        <v>0.95</v>
      </c>
      <c r="N29" s="88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6">E28/$E$28*100</f>
        <v>100</v>
      </c>
      <c r="F30" s="71">
        <f t="shared" si="6"/>
        <v>0</v>
      </c>
      <c r="G30" s="39">
        <f t="shared" si="6"/>
        <v>19.246814103663066</v>
      </c>
      <c r="H30" s="39">
        <f t="shared" si="6"/>
        <v>79.55883193325333</v>
      </c>
      <c r="I30" s="39">
        <f t="shared" si="6"/>
        <v>3.3259043373907082</v>
      </c>
      <c r="J30" s="39">
        <f t="shared" si="6"/>
        <v>26.595805474598549</v>
      </c>
      <c r="K30" s="39">
        <f t="shared" si="6"/>
        <v>1.1943539630836049</v>
      </c>
      <c r="L30" s="39">
        <f t="shared" si="6"/>
        <v>49.637122121264071</v>
      </c>
      <c r="M30" s="39">
        <f t="shared" si="6"/>
        <v>50.831476084347685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75"/>
      <c r="J36" s="74"/>
      <c r="K36" s="74"/>
      <c r="L36" s="74"/>
      <c r="M36" s="74"/>
      <c r="N36" s="74"/>
      <c r="O36" s="77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5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7B8A0-694E-4D39-96FD-0AB647C0DB7C}">
  <dimension ref="A1:P54"/>
  <sheetViews>
    <sheetView topLeftCell="A10" zoomScale="75" zoomScaleNormal="75" workbookViewId="0">
      <selection activeCell="A38" sqref="A38:O52"/>
    </sheetView>
  </sheetViews>
  <sheetFormatPr defaultRowHeight="15"/>
  <cols>
    <col min="1" max="1" width="27.44140625" customWidth="1"/>
    <col min="2" max="2" width="16.88671875" customWidth="1"/>
    <col min="3" max="13" width="15.88671875" style="233" customWidth="1"/>
  </cols>
  <sheetData>
    <row r="1" spans="1:16">
      <c r="A1" s="221" t="s">
        <v>193</v>
      </c>
      <c r="B1" s="222" t="s">
        <v>224</v>
      </c>
      <c r="C1" s="223" t="s">
        <v>225</v>
      </c>
      <c r="D1" s="223" t="s">
        <v>226</v>
      </c>
      <c r="E1" s="223" t="s">
        <v>227</v>
      </c>
      <c r="F1" s="223" t="s">
        <v>228</v>
      </c>
      <c r="G1" s="223" t="s">
        <v>229</v>
      </c>
      <c r="H1" s="223" t="s">
        <v>230</v>
      </c>
      <c r="I1" s="223" t="s">
        <v>231</v>
      </c>
      <c r="J1" s="223" t="s">
        <v>232</v>
      </c>
      <c r="K1" s="223" t="s">
        <v>233</v>
      </c>
      <c r="L1" s="223" t="s">
        <v>234</v>
      </c>
      <c r="M1" s="223" t="s">
        <v>235</v>
      </c>
    </row>
    <row r="2" spans="1:16" ht="15.75">
      <c r="A2" s="222"/>
      <c r="B2" s="224" t="s">
        <v>194</v>
      </c>
      <c r="C2" s="225">
        <v>800</v>
      </c>
      <c r="D2" s="225">
        <v>801</v>
      </c>
      <c r="E2" s="225">
        <v>802</v>
      </c>
      <c r="F2" s="225">
        <v>803</v>
      </c>
      <c r="G2" s="225">
        <v>804</v>
      </c>
      <c r="H2" s="225">
        <v>805</v>
      </c>
      <c r="I2" s="225">
        <v>807</v>
      </c>
      <c r="J2" s="225">
        <v>808</v>
      </c>
      <c r="K2" s="225">
        <v>809</v>
      </c>
      <c r="L2" s="225">
        <v>810</v>
      </c>
      <c r="M2" s="225">
        <v>811</v>
      </c>
      <c r="P2" t="s">
        <v>195</v>
      </c>
    </row>
    <row r="3" spans="1:16" ht="15.75">
      <c r="A3" s="222"/>
      <c r="B3" s="224" t="s">
        <v>196</v>
      </c>
      <c r="C3" s="225" t="s">
        <v>197</v>
      </c>
      <c r="D3" s="225" t="s">
        <v>198</v>
      </c>
      <c r="E3" s="225" t="s">
        <v>199</v>
      </c>
      <c r="F3" s="225" t="s">
        <v>192</v>
      </c>
      <c r="G3" s="225" t="s">
        <v>200</v>
      </c>
      <c r="H3" s="225" t="s">
        <v>201</v>
      </c>
      <c r="I3" s="225" t="s">
        <v>202</v>
      </c>
      <c r="J3" s="225" t="s">
        <v>203</v>
      </c>
      <c r="K3" s="225" t="s">
        <v>204</v>
      </c>
      <c r="L3" s="225" t="s">
        <v>205</v>
      </c>
      <c r="M3" s="225" t="s">
        <v>206</v>
      </c>
    </row>
    <row r="4" spans="1:16" ht="15.75">
      <c r="A4" s="222"/>
      <c r="B4" s="224" t="s">
        <v>207</v>
      </c>
      <c r="C4" s="226">
        <f>culb!M28</f>
        <v>257</v>
      </c>
      <c r="D4" s="223">
        <f>'culb ext 1'!M16</f>
        <v>0</v>
      </c>
      <c r="E4" s="226">
        <f>'mk drift'!M28</f>
        <v>7463</v>
      </c>
      <c r="F4" s="226">
        <f>bartley!M28</f>
        <v>2487</v>
      </c>
      <c r="G4" s="226">
        <f>'red wil'!M28</f>
        <v>1423</v>
      </c>
      <c r="H4" s="226">
        <f>camb!M28</f>
        <v>11107</v>
      </c>
      <c r="I4" s="226">
        <f>frnklin!M28</f>
        <v>5770.2</v>
      </c>
      <c r="J4" s="226">
        <f>nap!M28</f>
        <v>356</v>
      </c>
      <c r="K4" s="226">
        <f>'frnk pmp'!M28</f>
        <v>452</v>
      </c>
      <c r="L4" s="226">
        <f>sup!M28</f>
        <v>1586</v>
      </c>
      <c r="M4" s="226">
        <f>'cout ne'!M28</f>
        <v>410</v>
      </c>
    </row>
    <row r="5" spans="1:16" ht="77.25">
      <c r="A5" s="244" t="s">
        <v>208</v>
      </c>
      <c r="B5" s="224" t="s">
        <v>209</v>
      </c>
      <c r="C5" s="223">
        <f>(culb!G16+culb!J16)*0.82</f>
        <v>0</v>
      </c>
      <c r="D5" s="223">
        <f>('culb ext 1'!G16+'culb ext 1'!J16)*0.82</f>
        <v>0</v>
      </c>
      <c r="E5" s="223">
        <f>('mk drift'!G16+'mk drift'!J16)*0.82</f>
        <v>0</v>
      </c>
      <c r="F5" s="223">
        <f>(bartley!G16+bartley!J16)*0.82</f>
        <v>0</v>
      </c>
      <c r="G5" s="223">
        <f>('red wil'!G16+'red wil'!J16)*0.82</f>
        <v>0</v>
      </c>
      <c r="H5" s="223">
        <f>(camb!G16+camb!J16)*0.82</f>
        <v>0</v>
      </c>
      <c r="I5" s="223">
        <f>(frnklin!G16+frnklin!J16)*0.82</f>
        <v>0</v>
      </c>
      <c r="J5" s="223">
        <f>(nap!G16+nap!J16)*0.82</f>
        <v>0</v>
      </c>
      <c r="K5" s="223">
        <f>('frnk pmp'!G16+'frnk pmp'!J16)*0.82</f>
        <v>0</v>
      </c>
      <c r="L5" s="223">
        <f>(sup!G16+sup!J16)*0.82</f>
        <v>0</v>
      </c>
      <c r="M5" s="223">
        <f>('cout ne'!G16+'cout ne'!J16)*0.82</f>
        <v>0</v>
      </c>
    </row>
    <row r="6" spans="1:16" ht="15.75">
      <c r="A6" s="244"/>
      <c r="B6" s="224" t="s">
        <v>210</v>
      </c>
      <c r="C6" s="223">
        <f>(culb!G17+culb!J17)*0.82</f>
        <v>0</v>
      </c>
      <c r="D6" s="223">
        <f>('culb ext 1'!G17+'culb ext 1'!J17)*0.82</f>
        <v>0</v>
      </c>
      <c r="E6" s="223">
        <f>('mk drift'!G17+'mk drift'!J17)*0.82</f>
        <v>0</v>
      </c>
      <c r="F6" s="223">
        <f>(bartley!G17+bartley!J17)*0.82</f>
        <v>0</v>
      </c>
      <c r="G6" s="223">
        <f>('red wil'!G17+'red wil'!J17)*0.82</f>
        <v>0</v>
      </c>
      <c r="H6" s="223">
        <f>(camb!G17+camb!J17)*0.82</f>
        <v>0</v>
      </c>
      <c r="I6" s="223">
        <f>(frnklin!G17+frnklin!J17)*0.82</f>
        <v>0</v>
      </c>
      <c r="J6" s="223">
        <f>(nap!G17+nap!J17)*0.82</f>
        <v>0</v>
      </c>
      <c r="K6" s="223">
        <f>('frnk pmp'!G17+'frnk pmp'!J17)*0.82</f>
        <v>0</v>
      </c>
      <c r="L6" s="223">
        <f>(sup!G17+sup!J17)*0.82</f>
        <v>0</v>
      </c>
      <c r="M6" s="223">
        <f>('cout ne'!G17+'cout ne'!J17)*0.82</f>
        <v>0</v>
      </c>
    </row>
    <row r="7" spans="1:16" ht="15.75">
      <c r="A7" s="244"/>
      <c r="B7" s="224" t="s">
        <v>211</v>
      </c>
      <c r="C7" s="223">
        <f>(culb!G18+culb!J18)*0.82</f>
        <v>0</v>
      </c>
      <c r="D7" s="223">
        <f>('culb ext 1'!G18+'culb ext 1'!J18)*0.82</f>
        <v>0</v>
      </c>
      <c r="E7" s="223">
        <f>('mk drift'!G18+'mk drift'!J18)*0.82</f>
        <v>0</v>
      </c>
      <c r="F7" s="223">
        <f>(bartley!G18+bartley!J18)*0.82</f>
        <v>0</v>
      </c>
      <c r="G7" s="223">
        <f>('red wil'!G18+'red wil'!J18)*0.82</f>
        <v>0</v>
      </c>
      <c r="H7" s="223">
        <f>(camb!G18+camb!J18)*0.82</f>
        <v>0</v>
      </c>
      <c r="I7" s="223">
        <f>(frnklin!G18+frnklin!J18)*0.82</f>
        <v>0</v>
      </c>
      <c r="J7" s="223">
        <f>(nap!G18+nap!J18)*0.82</f>
        <v>0</v>
      </c>
      <c r="K7" s="223">
        <f>('frnk pmp'!G18+'frnk pmp'!J18)*0.82</f>
        <v>0</v>
      </c>
      <c r="L7" s="223">
        <f>(sup!G18+sup!J18)*0.82</f>
        <v>0</v>
      </c>
      <c r="M7" s="223">
        <f>('cout ne'!G18+'cout ne'!J18)*0.82</f>
        <v>0</v>
      </c>
    </row>
    <row r="8" spans="1:16" ht="15.75">
      <c r="A8" s="244"/>
      <c r="B8" s="224" t="s">
        <v>212</v>
      </c>
      <c r="C8" s="223">
        <f>(culb!G19+culb!J19)*0.92</f>
        <v>851</v>
      </c>
      <c r="D8" s="223">
        <f>('culb ext 1'!G19+'culb ext 1'!J19)*0.82</f>
        <v>0</v>
      </c>
      <c r="E8" s="223">
        <f>('mk drift'!G19+'mk drift'!J19)*0.82</f>
        <v>0</v>
      </c>
      <c r="F8" s="223">
        <f>(bartley!G19+bartley!J19)*0.92</f>
        <v>0</v>
      </c>
      <c r="G8" s="223">
        <f>('red wil'!G19+'red wil'!J19)*0.92</f>
        <v>0</v>
      </c>
      <c r="H8" s="223">
        <f>(camb!G19+camb!J19)*0.82</f>
        <v>79.539999999999992</v>
      </c>
      <c r="I8" s="223">
        <f>(frnklin!G19+frnklin!J19)*0.82</f>
        <v>0</v>
      </c>
      <c r="J8" s="223">
        <f>(nap!G19+nap!J19)*0.92</f>
        <v>0</v>
      </c>
      <c r="K8" s="223">
        <f>('frnk pmp'!G19+'frnk pmp'!J19)*0.82</f>
        <v>0</v>
      </c>
      <c r="L8" s="223">
        <f>(sup!G19+sup!J19)*0.92</f>
        <v>0</v>
      </c>
      <c r="M8" s="223">
        <f>('cout ne'!G19+'cout ne'!J19)*0.82</f>
        <v>0</v>
      </c>
    </row>
    <row r="9" spans="1:16" ht="15.75">
      <c r="A9" s="244"/>
      <c r="B9" s="224" t="s">
        <v>13</v>
      </c>
      <c r="C9" s="223">
        <f>(culb!G20+culb!J20)*0.82</f>
        <v>1526.84</v>
      </c>
      <c r="D9" s="223">
        <f>('culb ext 1'!G20+'culb ext 1'!J20)*0.82</f>
        <v>0</v>
      </c>
      <c r="E9" s="223">
        <f>('mk drift'!G20+'mk drift'!J20)*0.82</f>
        <v>0</v>
      </c>
      <c r="F9" s="223">
        <f>(bartley!G20+bartley!J20)*0.82</f>
        <v>1460.4199999999998</v>
      </c>
      <c r="G9" s="223">
        <f>('red wil'!G20+'red wil'!J20)*0.82</f>
        <v>0</v>
      </c>
      <c r="H9" s="223">
        <f>(camb!G20+camb!J20)*0.82</f>
        <v>3520.2599999999998</v>
      </c>
      <c r="I9" s="223">
        <f>(frnklin!G20+frnklin!J20)*0.82</f>
        <v>0</v>
      </c>
      <c r="J9" s="223">
        <f>(nap!G20+nap!J20)*0.82</f>
        <v>0</v>
      </c>
      <c r="K9" s="223">
        <f>('frnk pmp'!G20+'frnk pmp'!J20)*0.82</f>
        <v>0</v>
      </c>
      <c r="L9" s="223">
        <f>(sup!G20+sup!J20)*0.82</f>
        <v>1227.54</v>
      </c>
      <c r="M9" s="223">
        <f>('cout ne'!G20+'cout ne'!J20)*0.82</f>
        <v>0</v>
      </c>
    </row>
    <row r="10" spans="1:16" ht="15.75">
      <c r="A10" s="244"/>
      <c r="B10" s="224" t="s">
        <v>213</v>
      </c>
      <c r="C10" s="223">
        <f>(culb!G21+culb!J21)*0.82</f>
        <v>994.66</v>
      </c>
      <c r="D10" s="223">
        <f>('culb ext 1'!G21+'culb ext 1'!J21)*0.82</f>
        <v>0</v>
      </c>
      <c r="E10" s="223">
        <f>('mk drift'!G21+'mk drift'!J21)*0.82</f>
        <v>2095.1</v>
      </c>
      <c r="F10" s="223">
        <f>(bartley!G21+bartley!J21)*0.82</f>
        <v>785.56</v>
      </c>
      <c r="G10" s="223">
        <f>('red wil'!G21+'red wil'!J21)*0.82</f>
        <v>534.64</v>
      </c>
      <c r="H10" s="223">
        <f>(camb!G21+camb!J21)*0.82</f>
        <v>3607.18</v>
      </c>
      <c r="I10" s="223">
        <f>(frnklin!G21+frnklin!J21)*0.82</f>
        <v>2429.66</v>
      </c>
      <c r="J10" s="223">
        <f>(nap!G21+nap!J21)*0.82</f>
        <v>80.36</v>
      </c>
      <c r="K10" s="223">
        <f>('frnk pmp'!G21+'frnk pmp'!J21)*0.82</f>
        <v>7.38</v>
      </c>
      <c r="L10" s="223">
        <f>(sup!G21+sup!J21)*0.82</f>
        <v>1320.1999999999998</v>
      </c>
      <c r="M10" s="223">
        <f>('cout ne'!G21+'cout ne'!J21)*0.82</f>
        <v>13.94</v>
      </c>
    </row>
    <row r="11" spans="1:16" ht="15.75">
      <c r="A11" s="244"/>
      <c r="B11" s="224" t="s">
        <v>214</v>
      </c>
      <c r="C11" s="223">
        <f>(culb!G22+culb!J22)*0.82</f>
        <v>612.54</v>
      </c>
      <c r="D11" s="223">
        <f>('culb ext 1'!G22+'culb ext 1'!J22)*0.82</f>
        <v>0</v>
      </c>
      <c r="E11" s="223">
        <f>('mk drift'!G22+'mk drift'!J22)*0.82</f>
        <v>2838.8399999999997</v>
      </c>
      <c r="F11" s="223">
        <f>(bartley!G22+bartley!J22)*0.82</f>
        <v>282.08</v>
      </c>
      <c r="G11" s="223">
        <f>('red wil'!G22+'red wil'!J22)*0.82</f>
        <v>1462.06</v>
      </c>
      <c r="H11" s="223">
        <f>(camb!G22+camb!J22)*0.82</f>
        <v>1917.9799999999998</v>
      </c>
      <c r="I11" s="223">
        <f>(frnklin!G22+frnklin!J22)*0.82</f>
        <v>3523.3759999999997</v>
      </c>
      <c r="J11" s="223">
        <f>(nap!G22+nap!J22)*0.82</f>
        <v>243.54</v>
      </c>
      <c r="K11" s="223">
        <f>('frnk pmp'!G22+'frnk pmp'!J22)*0.82</f>
        <v>178.76</v>
      </c>
      <c r="L11" s="223">
        <f>(sup!G22+sup!J22)*0.82</f>
        <v>651.07999999999993</v>
      </c>
      <c r="M11" s="223">
        <f>('cout ne'!G22+'cout ne'!J22)*0.82</f>
        <v>21.32</v>
      </c>
    </row>
    <row r="12" spans="1:16" ht="15.75">
      <c r="A12" s="244"/>
      <c r="B12" s="224" t="s">
        <v>215</v>
      </c>
      <c r="C12" s="223">
        <f>(culb!G23+culb!J23)*0.82</f>
        <v>460.02</v>
      </c>
      <c r="D12" s="223">
        <f>('culb ext 1'!G23+'culb ext 1'!J23)*0.82</f>
        <v>0</v>
      </c>
      <c r="E12" s="223">
        <f>('mk drift'!G23+'mk drift'!J23)*0.82</f>
        <v>3029.8999999999996</v>
      </c>
      <c r="F12" s="223">
        <f>(bartley!G23+bartley!J23)*0.82</f>
        <v>332.09999999999997</v>
      </c>
      <c r="G12" s="223">
        <f>('red wil'!G23+'red wil'!J23)*0.82</f>
        <v>956.93999999999994</v>
      </c>
      <c r="H12" s="223">
        <f>(camb!G23+camb!J23)*0.82</f>
        <v>2491.16</v>
      </c>
      <c r="I12" s="223">
        <f>(frnklin!G23+frnklin!J23)*0.82</f>
        <v>4256.62</v>
      </c>
      <c r="J12" s="223">
        <f>(nap!G23+nap!J23)*0.82</f>
        <v>369</v>
      </c>
      <c r="K12" s="223">
        <f>('frnk pmp'!G23+'frnk pmp'!J23)*0.82</f>
        <v>312.41999999999996</v>
      </c>
      <c r="L12" s="223">
        <f>(sup!G23+sup!J23)*0.82</f>
        <v>582.19999999999993</v>
      </c>
      <c r="M12" s="223">
        <f>('cout ne'!G23+'cout ne'!J23)*0.82</f>
        <v>32.799999999999997</v>
      </c>
    </row>
    <row r="13" spans="1:16" ht="15.75">
      <c r="A13" s="244"/>
      <c r="B13" s="224" t="s">
        <v>216</v>
      </c>
      <c r="C13" s="223">
        <f>(culb!G24+culb!J24)*0.82</f>
        <v>533.81999999999994</v>
      </c>
      <c r="D13" s="223">
        <f>('culb ext 1'!G24+'culb ext 1'!J24)*0.82</f>
        <v>0</v>
      </c>
      <c r="E13" s="223">
        <f>('mk drift'!G24+'mk drift'!J24)*0.82</f>
        <v>332.91999999999996</v>
      </c>
      <c r="F13" s="223">
        <f>(bartley!G24+bartley!J24)*0.82</f>
        <v>13.12</v>
      </c>
      <c r="G13" s="223">
        <f>('red wil'!G24+'red wil'!J24)*0.82</f>
        <v>164.82</v>
      </c>
      <c r="H13" s="223">
        <f>(camb!G24+camb!J24)*0.82</f>
        <v>203.35999999999999</v>
      </c>
      <c r="I13" s="223">
        <f>(frnklin!G24+frnklin!J24)*0.82</f>
        <v>509.21999999999997</v>
      </c>
      <c r="J13" s="223">
        <f>(nap!G24+nap!J24)*0.82</f>
        <v>41</v>
      </c>
      <c r="K13" s="223">
        <f>('frnk pmp'!G24+'frnk pmp'!J24)*0.82</f>
        <v>15.579999999999998</v>
      </c>
      <c r="L13" s="223">
        <f>(sup!G24+sup!J24)*0.82</f>
        <v>149.23999999999998</v>
      </c>
      <c r="M13" s="223">
        <f>('cout ne'!G24+'cout ne'!J24)*0.82</f>
        <v>2.46</v>
      </c>
    </row>
    <row r="14" spans="1:16" ht="15.75">
      <c r="A14" s="244"/>
      <c r="B14" s="224" t="s">
        <v>217</v>
      </c>
      <c r="C14" s="223">
        <f>(culb!G25+culb!J25)*0.92</f>
        <v>383.64000000000004</v>
      </c>
      <c r="D14" s="223">
        <f>('culb ext 1'!G25+'culb ext 1'!J25)*0.82</f>
        <v>0</v>
      </c>
      <c r="E14" s="223">
        <f>('mk drift'!G25+'mk drift'!J25)*0.82</f>
        <v>0</v>
      </c>
      <c r="F14" s="223">
        <f>(bartley!G25+bartley!J25)*0.82</f>
        <v>0</v>
      </c>
      <c r="G14" s="223">
        <f>('red wil'!G25+'red wil'!J25)*0.82</f>
        <v>0</v>
      </c>
      <c r="H14" s="223">
        <f>(camb!G25+camb!J25)*0.82</f>
        <v>0</v>
      </c>
      <c r="I14" s="223">
        <f>(frnklin!G25+frnklin!J25)*0.82</f>
        <v>0</v>
      </c>
      <c r="J14" s="223">
        <f>(nap!G25+nap!J25)*0.82</f>
        <v>0</v>
      </c>
      <c r="K14" s="223">
        <f>('frnk pmp'!G25+'frnk pmp'!J25)*0.82</f>
        <v>0</v>
      </c>
      <c r="L14" s="223">
        <f>(sup!G25+sup!J25)*0.82</f>
        <v>0</v>
      </c>
      <c r="M14" s="223">
        <f>('cout ne'!G25+'cout ne'!J25)*0.82</f>
        <v>0</v>
      </c>
    </row>
    <row r="15" spans="1:16" ht="15.75">
      <c r="A15" s="244"/>
      <c r="B15" s="224" t="s">
        <v>218</v>
      </c>
      <c r="C15" s="223">
        <f>(culb!G26+culb!J26)*0.82</f>
        <v>0</v>
      </c>
      <c r="D15" s="223">
        <f>('culb ext 1'!G26+'culb ext 1'!J26)*0.82</f>
        <v>0</v>
      </c>
      <c r="E15" s="223">
        <f>('mk drift'!G26+'mk drift'!J26)*0.82</f>
        <v>0</v>
      </c>
      <c r="F15" s="223">
        <f>(bartley!G26+bartley!J26)*0.82</f>
        <v>0</v>
      </c>
      <c r="G15" s="223">
        <f>('red wil'!G26+'red wil'!J26)*0.82</f>
        <v>0</v>
      </c>
      <c r="H15" s="223">
        <f>(camb!G26+camb!J26)*0.82</f>
        <v>0</v>
      </c>
      <c r="I15" s="223">
        <f>(frnklin!G26+frnklin!J26)*0.82</f>
        <v>0</v>
      </c>
      <c r="J15" s="223">
        <f>(nap!G26+nap!J26)*0.82</f>
        <v>0</v>
      </c>
      <c r="K15" s="223">
        <f>('frnk pmp'!G26+'frnk pmp'!J26)*0.82</f>
        <v>0</v>
      </c>
      <c r="L15" s="223">
        <f>(sup!G26+sup!J26)*0.82</f>
        <v>0</v>
      </c>
      <c r="M15" s="223">
        <f>('cout ne'!G26+'cout ne'!J26)*0.82</f>
        <v>0</v>
      </c>
    </row>
    <row r="16" spans="1:16" ht="15.75">
      <c r="A16" s="244"/>
      <c r="B16" s="224" t="s">
        <v>219</v>
      </c>
      <c r="C16" s="223">
        <f>(culb!G27+culb!J27)*0.82</f>
        <v>0</v>
      </c>
      <c r="D16" s="223">
        <f>('culb ext 1'!G27+'culb ext 1'!J27)*0.82</f>
        <v>0</v>
      </c>
      <c r="E16" s="223">
        <f>('mk drift'!G27+'mk drift'!J27)*0.82</f>
        <v>0</v>
      </c>
      <c r="F16" s="223">
        <f>(bartley!G27+bartley!J27)*0.82</f>
        <v>0</v>
      </c>
      <c r="G16" s="223">
        <f>('red wil'!G27+'red wil'!J27)*0.82</f>
        <v>0</v>
      </c>
      <c r="H16" s="223">
        <f>(camb!G27+camb!J27)*0.82</f>
        <v>0</v>
      </c>
      <c r="I16" s="223">
        <f>(frnklin!G27+frnklin!J27)*0.82</f>
        <v>0</v>
      </c>
      <c r="J16" s="223">
        <f>(nap!G27+nap!J27)*0.82</f>
        <v>0</v>
      </c>
      <c r="K16" s="223">
        <f>('frnk pmp'!G27+'frnk pmp'!J27)*0.82</f>
        <v>0</v>
      </c>
      <c r="L16" s="223">
        <f>(sup!G27+sup!J27)*0.82</f>
        <v>0</v>
      </c>
      <c r="M16" s="223">
        <f>('cout ne'!G27+'cout ne'!J27)*0.82</f>
        <v>0</v>
      </c>
    </row>
    <row r="17" spans="1:16">
      <c r="A17" s="222"/>
      <c r="B17" s="222"/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</row>
    <row r="18" spans="1:16">
      <c r="A18" s="222" t="s">
        <v>220</v>
      </c>
      <c r="B18" s="222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</row>
    <row r="20" spans="1:16" ht="15.75">
      <c r="A20" s="227"/>
      <c r="B20" s="228" t="s">
        <v>194</v>
      </c>
      <c r="C20" s="228">
        <v>800</v>
      </c>
      <c r="D20" s="228">
        <v>801</v>
      </c>
      <c r="E20" s="228">
        <v>802</v>
      </c>
      <c r="F20" s="228">
        <v>803</v>
      </c>
      <c r="G20" s="228">
        <v>804</v>
      </c>
      <c r="H20" s="228">
        <v>805</v>
      </c>
      <c r="I20" s="228">
        <v>807</v>
      </c>
      <c r="J20" s="228">
        <v>808</v>
      </c>
      <c r="K20" s="228">
        <v>809</v>
      </c>
      <c r="L20" s="228">
        <v>810</v>
      </c>
      <c r="M20" s="228">
        <v>811</v>
      </c>
      <c r="N20" s="229"/>
      <c r="O20" s="229"/>
      <c r="P20" s="229"/>
    </row>
    <row r="21" spans="1:16" ht="15.75">
      <c r="A21" s="227"/>
      <c r="B21" s="228" t="s">
        <v>196</v>
      </c>
      <c r="C21" s="230" t="s">
        <v>197</v>
      </c>
      <c r="D21" s="231" t="s">
        <v>198</v>
      </c>
      <c r="E21" s="232" t="s">
        <v>199</v>
      </c>
      <c r="F21" s="232" t="s">
        <v>192</v>
      </c>
      <c r="G21" s="232" t="s">
        <v>200</v>
      </c>
      <c r="H21" s="232" t="s">
        <v>201</v>
      </c>
      <c r="I21" s="232" t="s">
        <v>202</v>
      </c>
      <c r="J21" s="232" t="s">
        <v>203</v>
      </c>
      <c r="K21" s="232" t="s">
        <v>204</v>
      </c>
      <c r="L21" s="232" t="s">
        <v>205</v>
      </c>
      <c r="M21" s="232" t="s">
        <v>206</v>
      </c>
      <c r="N21" s="233"/>
      <c r="O21" s="233"/>
      <c r="P21" s="233"/>
    </row>
    <row r="22" spans="1:16" ht="15.75">
      <c r="A22" s="227"/>
      <c r="B22" s="228" t="s">
        <v>207</v>
      </c>
      <c r="C22" s="230">
        <v>257</v>
      </c>
      <c r="D22" s="232">
        <v>0</v>
      </c>
      <c r="E22" s="232">
        <v>7463</v>
      </c>
      <c r="F22" s="232">
        <v>2487</v>
      </c>
      <c r="G22" s="232">
        <v>1423</v>
      </c>
      <c r="H22" s="232">
        <v>11107</v>
      </c>
      <c r="I22" s="232">
        <v>5770.2</v>
      </c>
      <c r="J22" s="232">
        <v>356</v>
      </c>
      <c r="K22" s="232">
        <v>452</v>
      </c>
      <c r="L22" s="232">
        <v>1586</v>
      </c>
      <c r="M22" s="232">
        <v>410</v>
      </c>
      <c r="N22" s="233"/>
      <c r="O22" s="233"/>
      <c r="P22" s="233"/>
    </row>
    <row r="23" spans="1:16" ht="15.75">
      <c r="A23" s="245" t="s">
        <v>208</v>
      </c>
      <c r="B23" s="228" t="s">
        <v>209</v>
      </c>
      <c r="C23" s="230">
        <v>0</v>
      </c>
      <c r="D23" s="231">
        <v>0</v>
      </c>
      <c r="E23" s="232">
        <v>0</v>
      </c>
      <c r="F23" s="232">
        <v>0</v>
      </c>
      <c r="G23" s="232">
        <v>0</v>
      </c>
      <c r="H23" s="232">
        <v>0</v>
      </c>
      <c r="I23" s="232">
        <v>0</v>
      </c>
      <c r="J23" s="232">
        <v>0</v>
      </c>
      <c r="K23" s="232">
        <v>0</v>
      </c>
      <c r="L23" s="232">
        <v>0</v>
      </c>
      <c r="M23" s="232">
        <v>0</v>
      </c>
      <c r="N23" s="233"/>
      <c r="O23" s="233"/>
      <c r="P23" s="233"/>
    </row>
    <row r="24" spans="1:16" ht="15.75">
      <c r="A24" s="245"/>
      <c r="B24" s="228" t="s">
        <v>210</v>
      </c>
      <c r="C24" s="230">
        <v>0</v>
      </c>
      <c r="D24" s="231">
        <v>0</v>
      </c>
      <c r="E24" s="232">
        <v>0</v>
      </c>
      <c r="F24" s="232">
        <v>0</v>
      </c>
      <c r="G24" s="232">
        <v>0</v>
      </c>
      <c r="H24" s="232">
        <v>0</v>
      </c>
      <c r="I24" s="232">
        <v>0</v>
      </c>
      <c r="J24" s="232">
        <v>0</v>
      </c>
      <c r="K24" s="232">
        <v>0</v>
      </c>
      <c r="L24" s="232">
        <v>0</v>
      </c>
      <c r="M24" s="232">
        <v>0</v>
      </c>
      <c r="N24" s="233"/>
      <c r="O24" s="233"/>
      <c r="P24" s="233"/>
    </row>
    <row r="25" spans="1:16" ht="15.75">
      <c r="A25" s="245"/>
      <c r="B25" s="228" t="s">
        <v>211</v>
      </c>
      <c r="C25" s="230">
        <v>0</v>
      </c>
      <c r="D25" s="231">
        <v>0</v>
      </c>
      <c r="E25" s="232">
        <v>0</v>
      </c>
      <c r="F25" s="232">
        <v>0</v>
      </c>
      <c r="G25" s="232">
        <v>0</v>
      </c>
      <c r="H25" s="232">
        <v>0</v>
      </c>
      <c r="I25" s="232">
        <v>0</v>
      </c>
      <c r="J25" s="232">
        <v>0</v>
      </c>
      <c r="K25" s="232">
        <v>0</v>
      </c>
      <c r="L25" s="232">
        <v>0</v>
      </c>
      <c r="M25" s="232">
        <v>0</v>
      </c>
      <c r="N25" s="233"/>
      <c r="O25" s="233"/>
      <c r="P25" s="233"/>
    </row>
    <row r="26" spans="1:16" ht="15.75">
      <c r="A26" s="245"/>
      <c r="B26" s="228" t="s">
        <v>212</v>
      </c>
      <c r="C26" s="230">
        <v>851</v>
      </c>
      <c r="D26" s="231">
        <v>0</v>
      </c>
      <c r="E26" s="232">
        <v>0</v>
      </c>
      <c r="F26" s="232">
        <v>0</v>
      </c>
      <c r="G26" s="232">
        <v>0</v>
      </c>
      <c r="H26" s="232">
        <v>79.539999999999992</v>
      </c>
      <c r="I26" s="232">
        <v>0</v>
      </c>
      <c r="J26" s="232">
        <v>0</v>
      </c>
      <c r="K26" s="232">
        <v>0</v>
      </c>
      <c r="L26" s="232">
        <v>0</v>
      </c>
      <c r="M26" s="232">
        <v>0</v>
      </c>
      <c r="N26" s="233"/>
      <c r="O26" s="233"/>
      <c r="P26" s="233"/>
    </row>
    <row r="27" spans="1:16" ht="15.75">
      <c r="A27" s="245"/>
      <c r="B27" s="228" t="s">
        <v>13</v>
      </c>
      <c r="C27" s="230">
        <v>1526.84</v>
      </c>
      <c r="D27" s="231">
        <v>0</v>
      </c>
      <c r="E27" s="232">
        <v>0</v>
      </c>
      <c r="F27" s="232">
        <v>1460.4199999999998</v>
      </c>
      <c r="G27" s="232">
        <v>0</v>
      </c>
      <c r="H27" s="232">
        <v>3520.2599999999998</v>
      </c>
      <c r="I27" s="232">
        <v>0</v>
      </c>
      <c r="J27" s="232">
        <v>0</v>
      </c>
      <c r="K27" s="232">
        <v>0</v>
      </c>
      <c r="L27" s="232">
        <v>1227.54</v>
      </c>
      <c r="M27" s="232">
        <v>0</v>
      </c>
      <c r="N27" s="233"/>
      <c r="O27" s="233"/>
      <c r="P27" s="233"/>
    </row>
    <row r="28" spans="1:16" ht="15.75">
      <c r="A28" s="245"/>
      <c r="B28" s="228" t="s">
        <v>213</v>
      </c>
      <c r="C28" s="230">
        <v>994.66</v>
      </c>
      <c r="D28" s="231">
        <v>0</v>
      </c>
      <c r="E28" s="232">
        <v>2095.1</v>
      </c>
      <c r="F28" s="232">
        <v>785.56</v>
      </c>
      <c r="G28" s="232">
        <v>534.64</v>
      </c>
      <c r="H28" s="232">
        <v>3607.18</v>
      </c>
      <c r="I28" s="232">
        <v>2429.66</v>
      </c>
      <c r="J28" s="232">
        <v>80.36</v>
      </c>
      <c r="K28" s="232">
        <v>7.38</v>
      </c>
      <c r="L28" s="232">
        <v>1320.1999999999998</v>
      </c>
      <c r="M28" s="232">
        <v>13.94</v>
      </c>
      <c r="N28" s="233"/>
      <c r="O28" s="233"/>
      <c r="P28" s="233"/>
    </row>
    <row r="29" spans="1:16" ht="15.75">
      <c r="A29" s="245"/>
      <c r="B29" s="228" t="s">
        <v>214</v>
      </c>
      <c r="C29" s="230">
        <v>612.54</v>
      </c>
      <c r="D29" s="231">
        <v>0</v>
      </c>
      <c r="E29" s="232">
        <v>2838.8399999999997</v>
      </c>
      <c r="F29" s="232">
        <v>282.08</v>
      </c>
      <c r="G29" s="232">
        <v>1462.06</v>
      </c>
      <c r="H29" s="232">
        <v>1917.9799999999998</v>
      </c>
      <c r="I29" s="232">
        <v>3523.3759999999997</v>
      </c>
      <c r="J29" s="232">
        <v>243.54</v>
      </c>
      <c r="K29" s="232">
        <v>178.76</v>
      </c>
      <c r="L29" s="232">
        <v>651.07999999999993</v>
      </c>
      <c r="M29" s="232">
        <v>21.32</v>
      </c>
      <c r="N29" s="233"/>
      <c r="O29" s="233"/>
      <c r="P29" s="233"/>
    </row>
    <row r="30" spans="1:16" ht="15.75">
      <c r="A30" s="245"/>
      <c r="B30" s="228" t="s">
        <v>215</v>
      </c>
      <c r="C30" s="230">
        <v>460.02</v>
      </c>
      <c r="D30" s="231">
        <v>0</v>
      </c>
      <c r="E30" s="232">
        <v>3029.8999999999996</v>
      </c>
      <c r="F30" s="232">
        <v>332.09999999999997</v>
      </c>
      <c r="G30" s="232">
        <v>956.93999999999994</v>
      </c>
      <c r="H30" s="232">
        <v>2491.16</v>
      </c>
      <c r="I30" s="232">
        <v>4256.62</v>
      </c>
      <c r="J30" s="232">
        <v>369</v>
      </c>
      <c r="K30" s="232">
        <v>312.41999999999996</v>
      </c>
      <c r="L30" s="232">
        <v>582.19999999999993</v>
      </c>
      <c r="M30" s="232">
        <v>32.799999999999997</v>
      </c>
      <c r="N30" s="233"/>
      <c r="O30" s="233"/>
      <c r="P30" s="233"/>
    </row>
    <row r="31" spans="1:16" ht="15.75">
      <c r="A31" s="245"/>
      <c r="B31" s="228" t="s">
        <v>216</v>
      </c>
      <c r="C31" s="230">
        <v>533.81999999999994</v>
      </c>
      <c r="D31" s="231">
        <v>0</v>
      </c>
      <c r="E31" s="232">
        <v>332.91999999999996</v>
      </c>
      <c r="F31" s="232">
        <v>13.12</v>
      </c>
      <c r="G31" s="232">
        <v>164.82</v>
      </c>
      <c r="H31" s="232">
        <v>203.35999999999999</v>
      </c>
      <c r="I31" s="232">
        <v>509.21999999999997</v>
      </c>
      <c r="J31" s="232">
        <v>41</v>
      </c>
      <c r="K31" s="232">
        <v>15.579999999999998</v>
      </c>
      <c r="L31" s="232">
        <v>149.23999999999998</v>
      </c>
      <c r="M31" s="232">
        <v>2.46</v>
      </c>
      <c r="N31" s="233"/>
      <c r="O31" s="233"/>
      <c r="P31" s="233"/>
    </row>
    <row r="32" spans="1:16" ht="15.75">
      <c r="A32" s="245"/>
      <c r="B32" s="228" t="s">
        <v>217</v>
      </c>
      <c r="C32" s="232">
        <v>383.64000000000004</v>
      </c>
      <c r="D32" s="232">
        <v>0</v>
      </c>
      <c r="E32" s="232">
        <v>0</v>
      </c>
      <c r="F32" s="232">
        <v>0</v>
      </c>
      <c r="G32" s="232">
        <v>0</v>
      </c>
      <c r="H32" s="232">
        <v>0</v>
      </c>
      <c r="I32" s="232">
        <v>0</v>
      </c>
      <c r="J32" s="232">
        <v>0</v>
      </c>
      <c r="K32" s="232">
        <v>0</v>
      </c>
      <c r="L32" s="232">
        <v>0</v>
      </c>
      <c r="M32" s="232">
        <v>0</v>
      </c>
    </row>
    <row r="33" spans="1:16" ht="15.75">
      <c r="A33" s="245"/>
      <c r="B33" s="228" t="s">
        <v>218</v>
      </c>
      <c r="C33" s="232">
        <v>0</v>
      </c>
      <c r="D33" s="232">
        <v>0</v>
      </c>
      <c r="E33" s="232">
        <v>0</v>
      </c>
      <c r="F33" s="232">
        <v>0</v>
      </c>
      <c r="G33" s="232">
        <v>0</v>
      </c>
      <c r="H33" s="232">
        <v>0</v>
      </c>
      <c r="I33" s="232">
        <v>0</v>
      </c>
      <c r="J33" s="232">
        <v>0</v>
      </c>
      <c r="K33" s="232">
        <v>0</v>
      </c>
      <c r="L33" s="232">
        <v>0</v>
      </c>
      <c r="M33" s="232">
        <v>0</v>
      </c>
    </row>
    <row r="34" spans="1:16" ht="15.75">
      <c r="A34" s="245"/>
      <c r="B34" s="228" t="s">
        <v>219</v>
      </c>
      <c r="C34" s="232">
        <v>0</v>
      </c>
      <c r="D34" s="232">
        <v>0</v>
      </c>
      <c r="E34" s="232">
        <v>0</v>
      </c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</row>
    <row r="35" spans="1:16">
      <c r="A35" s="245"/>
      <c r="B35" s="227"/>
      <c r="C35" s="234"/>
      <c r="D35" s="234"/>
      <c r="E35" s="234"/>
      <c r="F35" s="234"/>
      <c r="G35" s="234"/>
      <c r="H35" s="234"/>
      <c r="I35" s="234"/>
      <c r="J35" s="234"/>
      <c r="K35" s="234"/>
      <c r="L35" s="234"/>
      <c r="M35" s="234"/>
    </row>
    <row r="36" spans="1:16">
      <c r="A36" s="227" t="s">
        <v>221</v>
      </c>
      <c r="B36" s="227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</row>
    <row r="37" spans="1:16" ht="15.75">
      <c r="B37" s="229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</row>
    <row r="38" spans="1:16" ht="15.75">
      <c r="B38" s="229"/>
      <c r="C38" s="235"/>
      <c r="D38" s="246" t="s">
        <v>222</v>
      </c>
      <c r="E38" s="246"/>
      <c r="F38" s="246"/>
      <c r="G38" s="246"/>
      <c r="H38" s="246"/>
      <c r="I38" s="246"/>
      <c r="J38" s="246"/>
      <c r="K38" s="246"/>
      <c r="L38" s="246"/>
      <c r="M38" s="246"/>
      <c r="N38" s="246"/>
      <c r="O38" s="246"/>
    </row>
    <row r="39" spans="1:16" ht="15.75">
      <c r="A39" s="236" t="s">
        <v>194</v>
      </c>
      <c r="B39" s="236" t="s">
        <v>196</v>
      </c>
      <c r="C39" s="236" t="s">
        <v>207</v>
      </c>
      <c r="D39" s="236" t="s">
        <v>209</v>
      </c>
      <c r="E39" s="236" t="s">
        <v>210</v>
      </c>
      <c r="F39" s="236" t="s">
        <v>211</v>
      </c>
      <c r="G39" s="236" t="s">
        <v>212</v>
      </c>
      <c r="H39" s="236" t="s">
        <v>13</v>
      </c>
      <c r="I39" s="236" t="s">
        <v>213</v>
      </c>
      <c r="J39" s="236" t="s">
        <v>214</v>
      </c>
      <c r="K39" s="236" t="s">
        <v>215</v>
      </c>
      <c r="L39" s="236" t="s">
        <v>216</v>
      </c>
      <c r="M39" s="236" t="s">
        <v>217</v>
      </c>
      <c r="N39" s="236" t="s">
        <v>218</v>
      </c>
      <c r="O39" s="236" t="s">
        <v>219</v>
      </c>
      <c r="P39" s="233"/>
    </row>
    <row r="40" spans="1:16" ht="15.75">
      <c r="A40" s="236">
        <v>800</v>
      </c>
      <c r="B40" s="237" t="s">
        <v>197</v>
      </c>
      <c r="C40" s="237">
        <v>257</v>
      </c>
      <c r="D40" s="237">
        <v>0</v>
      </c>
      <c r="E40" s="237">
        <v>0</v>
      </c>
      <c r="F40" s="237">
        <v>0</v>
      </c>
      <c r="G40" s="237">
        <v>851</v>
      </c>
      <c r="H40" s="237">
        <v>1526.84</v>
      </c>
      <c r="I40" s="237">
        <v>994.66</v>
      </c>
      <c r="J40" s="237">
        <v>612.54</v>
      </c>
      <c r="K40" s="237">
        <v>460.02</v>
      </c>
      <c r="L40" s="237">
        <v>533.81999999999994</v>
      </c>
      <c r="M40" s="238">
        <v>383.64000000000004</v>
      </c>
      <c r="N40" s="238">
        <v>0</v>
      </c>
      <c r="O40" s="238">
        <v>0</v>
      </c>
      <c r="P40" s="233"/>
    </row>
    <row r="41" spans="1:16" ht="15.75">
      <c r="A41" s="236">
        <v>801</v>
      </c>
      <c r="B41" s="239" t="s">
        <v>198</v>
      </c>
      <c r="C41" s="238">
        <v>0</v>
      </c>
      <c r="D41" s="239">
        <v>0</v>
      </c>
      <c r="E41" s="239">
        <v>0</v>
      </c>
      <c r="F41" s="239">
        <v>0</v>
      </c>
      <c r="G41" s="239">
        <v>0</v>
      </c>
      <c r="H41" s="239">
        <v>0</v>
      </c>
      <c r="I41" s="239">
        <v>0</v>
      </c>
      <c r="J41" s="239">
        <v>0</v>
      </c>
      <c r="K41" s="239">
        <v>0</v>
      </c>
      <c r="L41" s="239">
        <v>0</v>
      </c>
      <c r="M41" s="238">
        <v>0</v>
      </c>
      <c r="N41" s="238">
        <v>0</v>
      </c>
      <c r="O41" s="238">
        <v>0</v>
      </c>
      <c r="P41" s="233"/>
    </row>
    <row r="42" spans="1:16" ht="15.75">
      <c r="A42" s="236">
        <v>802</v>
      </c>
      <c r="B42" s="238" t="s">
        <v>199</v>
      </c>
      <c r="C42" s="238">
        <v>7463</v>
      </c>
      <c r="D42" s="238">
        <v>0</v>
      </c>
      <c r="E42" s="238">
        <v>0</v>
      </c>
      <c r="F42" s="238">
        <v>0</v>
      </c>
      <c r="G42" s="238">
        <v>0</v>
      </c>
      <c r="H42" s="238">
        <v>0</v>
      </c>
      <c r="I42" s="238">
        <v>2095.1</v>
      </c>
      <c r="J42" s="238">
        <v>2838.8399999999997</v>
      </c>
      <c r="K42" s="238">
        <v>3029.8999999999996</v>
      </c>
      <c r="L42" s="238">
        <v>332.91999999999996</v>
      </c>
      <c r="M42" s="238">
        <v>0</v>
      </c>
      <c r="N42" s="238">
        <v>0</v>
      </c>
      <c r="O42" s="238">
        <v>0</v>
      </c>
      <c r="P42" s="233"/>
    </row>
    <row r="43" spans="1:16" ht="15.75">
      <c r="A43" s="236">
        <v>803</v>
      </c>
      <c r="B43" s="238" t="s">
        <v>192</v>
      </c>
      <c r="C43" s="238">
        <v>2487</v>
      </c>
      <c r="D43" s="238">
        <v>0</v>
      </c>
      <c r="E43" s="238">
        <v>0</v>
      </c>
      <c r="F43" s="238">
        <v>0</v>
      </c>
      <c r="G43" s="238">
        <v>0</v>
      </c>
      <c r="H43" s="238">
        <v>1460.4199999999998</v>
      </c>
      <c r="I43" s="238">
        <v>785.56</v>
      </c>
      <c r="J43" s="238">
        <v>282.08</v>
      </c>
      <c r="K43" s="238">
        <v>332.09999999999997</v>
      </c>
      <c r="L43" s="238">
        <v>13.12</v>
      </c>
      <c r="M43" s="238">
        <v>0</v>
      </c>
      <c r="N43" s="238">
        <v>0</v>
      </c>
      <c r="O43" s="238">
        <v>0</v>
      </c>
      <c r="P43" s="233"/>
    </row>
    <row r="44" spans="1:16" ht="15.75">
      <c r="A44" s="236">
        <v>804</v>
      </c>
      <c r="B44" s="238" t="s">
        <v>200</v>
      </c>
      <c r="C44" s="238">
        <v>1423</v>
      </c>
      <c r="D44" s="238">
        <v>0</v>
      </c>
      <c r="E44" s="238">
        <v>0</v>
      </c>
      <c r="F44" s="238">
        <v>0</v>
      </c>
      <c r="G44" s="238">
        <v>0</v>
      </c>
      <c r="H44" s="238">
        <v>0</v>
      </c>
      <c r="I44" s="238">
        <v>534.64</v>
      </c>
      <c r="J44" s="238">
        <v>1462.06</v>
      </c>
      <c r="K44" s="238">
        <v>956.93999999999994</v>
      </c>
      <c r="L44" s="238">
        <v>164.82</v>
      </c>
      <c r="M44" s="238">
        <v>0</v>
      </c>
      <c r="N44" s="238">
        <v>0</v>
      </c>
      <c r="O44" s="238">
        <v>0</v>
      </c>
      <c r="P44" s="233"/>
    </row>
    <row r="45" spans="1:16" ht="15.75">
      <c r="A45" s="236">
        <v>805</v>
      </c>
      <c r="B45" s="238" t="s">
        <v>201</v>
      </c>
      <c r="C45" s="238">
        <v>11107</v>
      </c>
      <c r="D45" s="238">
        <v>0</v>
      </c>
      <c r="E45" s="238">
        <v>0</v>
      </c>
      <c r="F45" s="238">
        <v>0</v>
      </c>
      <c r="G45" s="238">
        <v>79.539999999999992</v>
      </c>
      <c r="H45" s="238">
        <v>3520.2599999999998</v>
      </c>
      <c r="I45" s="238">
        <v>3607.18</v>
      </c>
      <c r="J45" s="238">
        <v>1917.9799999999998</v>
      </c>
      <c r="K45" s="238">
        <v>2491.16</v>
      </c>
      <c r="L45" s="238">
        <v>203.35999999999999</v>
      </c>
      <c r="M45" s="238">
        <v>0</v>
      </c>
      <c r="N45" s="238">
        <v>0</v>
      </c>
      <c r="O45" s="238">
        <v>0</v>
      </c>
      <c r="P45" s="233"/>
    </row>
    <row r="46" spans="1:16" ht="15.75">
      <c r="A46" s="236">
        <v>807</v>
      </c>
      <c r="B46" s="238" t="s">
        <v>202</v>
      </c>
      <c r="C46" s="238">
        <v>5770.2</v>
      </c>
      <c r="D46" s="238">
        <v>0</v>
      </c>
      <c r="E46" s="238">
        <v>0</v>
      </c>
      <c r="F46" s="238">
        <v>0</v>
      </c>
      <c r="G46" s="238">
        <v>0</v>
      </c>
      <c r="H46" s="238">
        <v>0</v>
      </c>
      <c r="I46" s="238">
        <v>2429.66</v>
      </c>
      <c r="J46" s="238">
        <v>3523.3759999999997</v>
      </c>
      <c r="K46" s="238">
        <v>4256.62</v>
      </c>
      <c r="L46" s="238">
        <v>509.21999999999997</v>
      </c>
      <c r="M46" s="238">
        <v>0</v>
      </c>
      <c r="N46" s="238">
        <v>0</v>
      </c>
      <c r="O46" s="238">
        <v>0</v>
      </c>
      <c r="P46" s="233"/>
    </row>
    <row r="47" spans="1:16" ht="15.75">
      <c r="A47" s="236">
        <v>808</v>
      </c>
      <c r="B47" s="238" t="s">
        <v>203</v>
      </c>
      <c r="C47" s="238">
        <v>356</v>
      </c>
      <c r="D47" s="238">
        <v>0</v>
      </c>
      <c r="E47" s="238">
        <v>0</v>
      </c>
      <c r="F47" s="238">
        <v>0</v>
      </c>
      <c r="G47" s="238">
        <v>0</v>
      </c>
      <c r="H47" s="238">
        <v>0</v>
      </c>
      <c r="I47" s="238">
        <v>80.36</v>
      </c>
      <c r="J47" s="238">
        <v>243.54</v>
      </c>
      <c r="K47" s="238">
        <v>369</v>
      </c>
      <c r="L47" s="238">
        <v>41</v>
      </c>
      <c r="M47" s="238">
        <v>0</v>
      </c>
      <c r="N47" s="238">
        <v>0</v>
      </c>
      <c r="O47" s="238">
        <v>0</v>
      </c>
      <c r="P47" s="233"/>
    </row>
    <row r="48" spans="1:16" ht="15.75">
      <c r="A48" s="236">
        <v>809</v>
      </c>
      <c r="B48" s="238" t="s">
        <v>204</v>
      </c>
      <c r="C48" s="238">
        <v>452</v>
      </c>
      <c r="D48" s="238">
        <v>0</v>
      </c>
      <c r="E48" s="238">
        <v>0</v>
      </c>
      <c r="F48" s="238">
        <v>0</v>
      </c>
      <c r="G48" s="238">
        <v>0</v>
      </c>
      <c r="H48" s="238">
        <v>0</v>
      </c>
      <c r="I48" s="238">
        <v>7.38</v>
      </c>
      <c r="J48" s="238">
        <v>178.76</v>
      </c>
      <c r="K48" s="238">
        <v>312.41999999999996</v>
      </c>
      <c r="L48" s="238">
        <v>15.579999999999998</v>
      </c>
      <c r="M48" s="238">
        <v>0</v>
      </c>
      <c r="N48" s="238">
        <v>0</v>
      </c>
      <c r="O48" s="238">
        <v>0</v>
      </c>
      <c r="P48" s="233"/>
    </row>
    <row r="49" spans="1:15" ht="15.75">
      <c r="A49" s="236">
        <v>810</v>
      </c>
      <c r="B49" s="238" t="s">
        <v>205</v>
      </c>
      <c r="C49" s="238">
        <v>1586</v>
      </c>
      <c r="D49" s="238">
        <v>0</v>
      </c>
      <c r="E49" s="238">
        <v>0</v>
      </c>
      <c r="F49" s="238">
        <v>0</v>
      </c>
      <c r="G49" s="238">
        <v>0</v>
      </c>
      <c r="H49" s="238">
        <v>1227.54</v>
      </c>
      <c r="I49" s="238">
        <v>1320.1999999999998</v>
      </c>
      <c r="J49" s="238">
        <v>651.07999999999993</v>
      </c>
      <c r="K49" s="238">
        <v>582.19999999999993</v>
      </c>
      <c r="L49" s="238">
        <v>149.23999999999998</v>
      </c>
      <c r="M49" s="238">
        <v>0</v>
      </c>
      <c r="N49" s="238">
        <v>0</v>
      </c>
      <c r="O49" s="238">
        <v>0</v>
      </c>
    </row>
    <row r="50" spans="1:15" ht="15.75">
      <c r="A50" s="236">
        <v>811</v>
      </c>
      <c r="B50" s="238" t="s">
        <v>206</v>
      </c>
      <c r="C50" s="238">
        <v>410</v>
      </c>
      <c r="D50" s="238">
        <v>0</v>
      </c>
      <c r="E50" s="238">
        <v>0</v>
      </c>
      <c r="F50" s="238">
        <v>0</v>
      </c>
      <c r="G50" s="238">
        <v>0</v>
      </c>
      <c r="H50" s="238">
        <v>0</v>
      </c>
      <c r="I50" s="238">
        <v>13.94</v>
      </c>
      <c r="J50" s="238">
        <v>21.32</v>
      </c>
      <c r="K50" s="238">
        <v>32.799999999999997</v>
      </c>
      <c r="L50" s="238">
        <v>2.46</v>
      </c>
      <c r="M50" s="238">
        <v>0</v>
      </c>
      <c r="N50" s="238">
        <v>0</v>
      </c>
      <c r="O50" s="238">
        <v>0</v>
      </c>
    </row>
    <row r="51" spans="1:15" ht="15.75">
      <c r="A51" s="240"/>
      <c r="B51" s="241"/>
      <c r="C51" s="242"/>
      <c r="D51" s="242"/>
      <c r="E51" s="242"/>
      <c r="F51" s="242"/>
      <c r="G51" s="242"/>
      <c r="H51" s="242"/>
      <c r="I51" s="242"/>
      <c r="J51" s="242"/>
      <c r="K51" s="242"/>
      <c r="L51" s="242"/>
      <c r="M51" s="242"/>
      <c r="N51" s="242"/>
      <c r="O51" s="242"/>
    </row>
    <row r="52" spans="1:15" ht="15.75">
      <c r="A52" s="243" t="s">
        <v>223</v>
      </c>
      <c r="B52" s="241"/>
      <c r="C52" s="242"/>
      <c r="D52" s="242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</row>
    <row r="54" spans="1:15">
      <c r="A54" s="77"/>
    </row>
  </sheetData>
  <mergeCells count="2">
    <mergeCell ref="A23:A35"/>
    <mergeCell ref="D38:O38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EF400-435E-4A54-89FA-EC2AACE93FD5}">
  <dimension ref="A1:O15"/>
  <sheetViews>
    <sheetView tabSelected="1" workbookViewId="0">
      <selection activeCell="D10" sqref="D10"/>
    </sheetView>
  </sheetViews>
  <sheetFormatPr defaultRowHeight="15"/>
  <sheetData>
    <row r="1" spans="1:15" ht="15.75">
      <c r="B1" s="229"/>
      <c r="C1" s="235"/>
      <c r="D1" s="246" t="s">
        <v>222</v>
      </c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</row>
    <row r="2" spans="1:15" ht="15.75">
      <c r="A2" s="236" t="s">
        <v>194</v>
      </c>
      <c r="B2" s="236" t="s">
        <v>196</v>
      </c>
      <c r="C2" s="236" t="s">
        <v>207</v>
      </c>
      <c r="D2" s="236" t="s">
        <v>209</v>
      </c>
      <c r="E2" s="236" t="s">
        <v>210</v>
      </c>
      <c r="F2" s="236" t="s">
        <v>211</v>
      </c>
      <c r="G2" s="236" t="s">
        <v>212</v>
      </c>
      <c r="H2" s="236" t="s">
        <v>13</v>
      </c>
      <c r="I2" s="236" t="s">
        <v>213</v>
      </c>
      <c r="J2" s="236" t="s">
        <v>214</v>
      </c>
      <c r="K2" s="236" t="s">
        <v>215</v>
      </c>
      <c r="L2" s="236" t="s">
        <v>216</v>
      </c>
      <c r="M2" s="236" t="s">
        <v>217</v>
      </c>
      <c r="N2" s="236" t="s">
        <v>218</v>
      </c>
      <c r="O2" s="236" t="s">
        <v>219</v>
      </c>
    </row>
    <row r="3" spans="1:15" ht="15.75">
      <c r="A3" s="236">
        <v>800</v>
      </c>
      <c r="B3" s="237" t="s">
        <v>197</v>
      </c>
      <c r="C3" s="237">
        <v>257</v>
      </c>
      <c r="D3" s="237">
        <v>0</v>
      </c>
      <c r="E3" s="237">
        <v>0</v>
      </c>
      <c r="F3" s="237">
        <v>0</v>
      </c>
      <c r="G3" s="237">
        <v>851</v>
      </c>
      <c r="H3" s="237">
        <v>1526.84</v>
      </c>
      <c r="I3" s="237">
        <v>994.66</v>
      </c>
      <c r="J3" s="237">
        <v>612.54</v>
      </c>
      <c r="K3" s="237">
        <v>460.02</v>
      </c>
      <c r="L3" s="237">
        <v>533.81999999999994</v>
      </c>
      <c r="M3" s="238">
        <v>383.64000000000004</v>
      </c>
      <c r="N3" s="238">
        <v>0</v>
      </c>
      <c r="O3" s="238">
        <v>0</v>
      </c>
    </row>
    <row r="4" spans="1:15" ht="15.75">
      <c r="A4" s="236">
        <v>801</v>
      </c>
      <c r="B4" s="239" t="s">
        <v>198</v>
      </c>
      <c r="C4" s="238">
        <v>0</v>
      </c>
      <c r="D4" s="239">
        <v>0</v>
      </c>
      <c r="E4" s="239">
        <v>0</v>
      </c>
      <c r="F4" s="239">
        <v>0</v>
      </c>
      <c r="G4" s="239">
        <v>0</v>
      </c>
      <c r="H4" s="239">
        <v>0</v>
      </c>
      <c r="I4" s="239">
        <v>0</v>
      </c>
      <c r="J4" s="239">
        <v>0</v>
      </c>
      <c r="K4" s="239">
        <v>0</v>
      </c>
      <c r="L4" s="239">
        <v>0</v>
      </c>
      <c r="M4" s="238">
        <v>0</v>
      </c>
      <c r="N4" s="238">
        <v>0</v>
      </c>
      <c r="O4" s="238">
        <v>0</v>
      </c>
    </row>
    <row r="5" spans="1:15" ht="15.75">
      <c r="A5" s="236">
        <v>802</v>
      </c>
      <c r="B5" s="238" t="s">
        <v>199</v>
      </c>
      <c r="C5" s="238">
        <v>7463</v>
      </c>
      <c r="D5" s="238">
        <v>0</v>
      </c>
      <c r="E5" s="238">
        <v>0</v>
      </c>
      <c r="F5" s="238">
        <v>0</v>
      </c>
      <c r="G5" s="238">
        <v>0</v>
      </c>
      <c r="H5" s="238">
        <v>0</v>
      </c>
      <c r="I5" s="238">
        <v>2095.1</v>
      </c>
      <c r="J5" s="238">
        <v>2838.8399999999997</v>
      </c>
      <c r="K5" s="238">
        <v>3029.8999999999996</v>
      </c>
      <c r="L5" s="238">
        <v>332.91999999999996</v>
      </c>
      <c r="M5" s="238">
        <v>0</v>
      </c>
      <c r="N5" s="238">
        <v>0</v>
      </c>
      <c r="O5" s="238">
        <v>0</v>
      </c>
    </row>
    <row r="6" spans="1:15" ht="15.75">
      <c r="A6" s="236">
        <v>803</v>
      </c>
      <c r="B6" s="238" t="s">
        <v>192</v>
      </c>
      <c r="C6" s="238">
        <v>2487</v>
      </c>
      <c r="D6" s="238">
        <v>0</v>
      </c>
      <c r="E6" s="238">
        <v>0</v>
      </c>
      <c r="F6" s="238">
        <v>0</v>
      </c>
      <c r="G6" s="238">
        <v>0</v>
      </c>
      <c r="H6" s="238">
        <v>1460.4199999999998</v>
      </c>
      <c r="I6" s="238">
        <v>785.56</v>
      </c>
      <c r="J6" s="238">
        <v>282.08</v>
      </c>
      <c r="K6" s="238">
        <v>332.09999999999997</v>
      </c>
      <c r="L6" s="238">
        <v>13.12</v>
      </c>
      <c r="M6" s="238">
        <v>0</v>
      </c>
      <c r="N6" s="238">
        <v>0</v>
      </c>
      <c r="O6" s="238">
        <v>0</v>
      </c>
    </row>
    <row r="7" spans="1:15" ht="15.75">
      <c r="A7" s="236">
        <v>804</v>
      </c>
      <c r="B7" s="238" t="s">
        <v>200</v>
      </c>
      <c r="C7" s="238">
        <v>1423</v>
      </c>
      <c r="D7" s="238">
        <v>0</v>
      </c>
      <c r="E7" s="238">
        <v>0</v>
      </c>
      <c r="F7" s="238">
        <v>0</v>
      </c>
      <c r="G7" s="238">
        <v>0</v>
      </c>
      <c r="H7" s="238">
        <v>0</v>
      </c>
      <c r="I7" s="238">
        <v>534.64</v>
      </c>
      <c r="J7" s="238">
        <v>1462.06</v>
      </c>
      <c r="K7" s="238">
        <v>956.93999999999994</v>
      </c>
      <c r="L7" s="238">
        <v>164.82</v>
      </c>
      <c r="M7" s="238">
        <v>0</v>
      </c>
      <c r="N7" s="238">
        <v>0</v>
      </c>
      <c r="O7" s="238">
        <v>0</v>
      </c>
    </row>
    <row r="8" spans="1:15" ht="15.75">
      <c r="A8" s="236">
        <v>805</v>
      </c>
      <c r="B8" s="238" t="s">
        <v>201</v>
      </c>
      <c r="C8" s="238">
        <v>11107</v>
      </c>
      <c r="D8" s="238">
        <v>0</v>
      </c>
      <c r="E8" s="238">
        <v>0</v>
      </c>
      <c r="F8" s="238">
        <v>0</v>
      </c>
      <c r="G8" s="238">
        <v>79.539999999999992</v>
      </c>
      <c r="H8" s="238">
        <v>3520.2599999999998</v>
      </c>
      <c r="I8" s="238">
        <v>3607.18</v>
      </c>
      <c r="J8" s="238">
        <v>1917.9799999999998</v>
      </c>
      <c r="K8" s="238">
        <v>2491.16</v>
      </c>
      <c r="L8" s="238">
        <v>203.35999999999999</v>
      </c>
      <c r="M8" s="238">
        <v>0</v>
      </c>
      <c r="N8" s="238">
        <v>0</v>
      </c>
      <c r="O8" s="238">
        <v>0</v>
      </c>
    </row>
    <row r="9" spans="1:15" ht="15.75">
      <c r="A9" s="236">
        <v>807</v>
      </c>
      <c r="B9" s="238" t="s">
        <v>202</v>
      </c>
      <c r="C9" s="238">
        <v>5770.2</v>
      </c>
      <c r="D9" s="238">
        <v>0</v>
      </c>
      <c r="E9" s="238">
        <v>0</v>
      </c>
      <c r="F9" s="238">
        <v>0</v>
      </c>
      <c r="G9" s="238">
        <v>0</v>
      </c>
      <c r="H9" s="238">
        <v>0</v>
      </c>
      <c r="I9" s="238">
        <v>2429.66</v>
      </c>
      <c r="J9" s="238">
        <v>3523.3759999999997</v>
      </c>
      <c r="K9" s="238">
        <v>4256.62</v>
      </c>
      <c r="L9" s="238">
        <v>509.21999999999997</v>
      </c>
      <c r="M9" s="238">
        <v>0</v>
      </c>
      <c r="N9" s="238">
        <v>0</v>
      </c>
      <c r="O9" s="238">
        <v>0</v>
      </c>
    </row>
    <row r="10" spans="1:15" ht="15.75">
      <c r="A10" s="236">
        <v>808</v>
      </c>
      <c r="B10" s="238" t="s">
        <v>203</v>
      </c>
      <c r="C10" s="238">
        <v>356</v>
      </c>
      <c r="D10" s="238">
        <v>0</v>
      </c>
      <c r="E10" s="238">
        <v>0</v>
      </c>
      <c r="F10" s="238">
        <v>0</v>
      </c>
      <c r="G10" s="238">
        <v>0</v>
      </c>
      <c r="H10" s="238">
        <v>0</v>
      </c>
      <c r="I10" s="238">
        <v>80.36</v>
      </c>
      <c r="J10" s="238">
        <v>243.54</v>
      </c>
      <c r="K10" s="238">
        <v>369</v>
      </c>
      <c r="L10" s="238">
        <v>41</v>
      </c>
      <c r="M10" s="238">
        <v>0</v>
      </c>
      <c r="N10" s="238">
        <v>0</v>
      </c>
      <c r="O10" s="238">
        <v>0</v>
      </c>
    </row>
    <row r="11" spans="1:15" ht="15.75">
      <c r="A11" s="236">
        <v>809</v>
      </c>
      <c r="B11" s="238" t="s">
        <v>204</v>
      </c>
      <c r="C11" s="238">
        <v>452</v>
      </c>
      <c r="D11" s="238">
        <v>0</v>
      </c>
      <c r="E11" s="238">
        <v>0</v>
      </c>
      <c r="F11" s="238">
        <v>0</v>
      </c>
      <c r="G11" s="238">
        <v>0</v>
      </c>
      <c r="H11" s="238">
        <v>0</v>
      </c>
      <c r="I11" s="238">
        <v>7.38</v>
      </c>
      <c r="J11" s="238">
        <v>178.76</v>
      </c>
      <c r="K11" s="238">
        <v>312.41999999999996</v>
      </c>
      <c r="L11" s="238">
        <v>15.579999999999998</v>
      </c>
      <c r="M11" s="238">
        <v>0</v>
      </c>
      <c r="N11" s="238">
        <v>0</v>
      </c>
      <c r="O11" s="238">
        <v>0</v>
      </c>
    </row>
    <row r="12" spans="1:15" ht="15.75">
      <c r="A12" s="236">
        <v>810</v>
      </c>
      <c r="B12" s="238" t="s">
        <v>205</v>
      </c>
      <c r="C12" s="238">
        <v>1586</v>
      </c>
      <c r="D12" s="238">
        <v>0</v>
      </c>
      <c r="E12" s="238">
        <v>0</v>
      </c>
      <c r="F12" s="238">
        <v>0</v>
      </c>
      <c r="G12" s="238">
        <v>0</v>
      </c>
      <c r="H12" s="238">
        <v>1227.54</v>
      </c>
      <c r="I12" s="238">
        <v>1320.1999999999998</v>
      </c>
      <c r="J12" s="238">
        <v>651.07999999999993</v>
      </c>
      <c r="K12" s="238">
        <v>582.19999999999993</v>
      </c>
      <c r="L12" s="238">
        <v>149.23999999999998</v>
      </c>
      <c r="M12" s="238">
        <v>0</v>
      </c>
      <c r="N12" s="238">
        <v>0</v>
      </c>
      <c r="O12" s="238">
        <v>0</v>
      </c>
    </row>
    <row r="13" spans="1:15" ht="15.75">
      <c r="A13" s="236">
        <v>811</v>
      </c>
      <c r="B13" s="238" t="s">
        <v>206</v>
      </c>
      <c r="C13" s="238">
        <v>410</v>
      </c>
      <c r="D13" s="238">
        <v>0</v>
      </c>
      <c r="E13" s="238">
        <v>0</v>
      </c>
      <c r="F13" s="238">
        <v>0</v>
      </c>
      <c r="G13" s="238">
        <v>0</v>
      </c>
      <c r="H13" s="238">
        <v>0</v>
      </c>
      <c r="I13" s="238">
        <v>13.94</v>
      </c>
      <c r="J13" s="238">
        <v>21.32</v>
      </c>
      <c r="K13" s="238">
        <v>32.799999999999997</v>
      </c>
      <c r="L13" s="238">
        <v>2.46</v>
      </c>
      <c r="M13" s="238">
        <v>0</v>
      </c>
      <c r="N13" s="238">
        <v>0</v>
      </c>
      <c r="O13" s="238">
        <v>0</v>
      </c>
    </row>
    <row r="14" spans="1:15" ht="15.75">
      <c r="A14" s="240"/>
      <c r="B14" s="241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</row>
    <row r="15" spans="1:15" ht="15.75">
      <c r="A15" s="243" t="s">
        <v>223</v>
      </c>
      <c r="B15" s="241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</row>
  </sheetData>
  <mergeCells count="1">
    <mergeCell ref="D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1"/>
  <sheetViews>
    <sheetView showOutlineSymbols="0" zoomScale="87" zoomScaleNormal="87" workbookViewId="0">
      <selection activeCell="T23" sqref="T23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8">
      <c r="A2" s="4" t="s">
        <v>1</v>
      </c>
      <c r="B2" s="3"/>
      <c r="C2" s="3"/>
      <c r="D2" s="3"/>
      <c r="E2" s="3"/>
      <c r="F2" s="5" t="s">
        <v>49</v>
      </c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50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51</v>
      </c>
      <c r="G4" s="3"/>
      <c r="H4" s="3"/>
      <c r="I4" s="3"/>
      <c r="J4" s="3"/>
      <c r="K4" s="3"/>
      <c r="L4" s="3"/>
      <c r="M4" s="3"/>
      <c r="N4" s="3"/>
    </row>
    <row r="5" spans="1:15" ht="30">
      <c r="A5" s="3"/>
      <c r="B5" s="3"/>
      <c r="C5" s="3"/>
      <c r="D5" s="6" t="s">
        <v>41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ht="18">
      <c r="A7" s="8" t="s">
        <v>4</v>
      </c>
      <c r="B7" s="135" t="s">
        <v>184</v>
      </c>
      <c r="C7" s="2"/>
      <c r="D7" s="2"/>
      <c r="E7" s="135" t="s">
        <v>0</v>
      </c>
      <c r="F7" s="2"/>
      <c r="G7" s="8" t="s">
        <v>56</v>
      </c>
      <c r="H7" s="2"/>
      <c r="I7" s="2" t="s">
        <v>103</v>
      </c>
      <c r="J7" s="2"/>
      <c r="K7" s="2"/>
      <c r="L7" s="2"/>
      <c r="M7" s="2"/>
      <c r="N7" s="2"/>
    </row>
    <row r="8" spans="1:15" ht="18">
      <c r="A8" s="10" t="s">
        <v>5</v>
      </c>
      <c r="B8" s="11" t="s">
        <v>26</v>
      </c>
      <c r="C8" s="11"/>
      <c r="D8" s="11"/>
      <c r="E8" s="11"/>
      <c r="F8" s="11"/>
      <c r="G8" s="10" t="s">
        <v>57</v>
      </c>
      <c r="H8" s="11"/>
      <c r="I8" s="11"/>
      <c r="J8" s="11"/>
      <c r="K8" s="52" t="s">
        <v>0</v>
      </c>
      <c r="L8" s="11"/>
      <c r="M8" s="10" t="s">
        <v>77</v>
      </c>
      <c r="N8" s="120">
        <v>2020</v>
      </c>
    </row>
    <row r="9" spans="1:15" ht="18">
      <c r="A9" s="10" t="s">
        <v>6</v>
      </c>
      <c r="B9" s="11" t="s">
        <v>102</v>
      </c>
      <c r="C9" s="11"/>
      <c r="D9" s="11"/>
      <c r="E9" s="11"/>
      <c r="F9" s="11"/>
      <c r="G9" s="10" t="s">
        <v>58</v>
      </c>
      <c r="H9" s="11"/>
      <c r="I9" s="11"/>
      <c r="J9" s="11"/>
      <c r="K9" s="11"/>
      <c r="L9" s="11"/>
      <c r="M9" s="11"/>
      <c r="N9" s="11"/>
    </row>
    <row r="10" spans="1:15">
      <c r="A10" s="15" t="s">
        <v>7</v>
      </c>
      <c r="B10" s="15" t="s">
        <v>28</v>
      </c>
      <c r="C10" s="15" t="s">
        <v>37</v>
      </c>
      <c r="D10" s="15" t="s">
        <v>42</v>
      </c>
      <c r="E10" s="15" t="s">
        <v>46</v>
      </c>
      <c r="F10" s="15" t="s">
        <v>52</v>
      </c>
      <c r="G10" s="15" t="s">
        <v>59</v>
      </c>
      <c r="H10" s="15" t="s">
        <v>61</v>
      </c>
      <c r="I10" s="15" t="s">
        <v>64</v>
      </c>
      <c r="J10" s="15" t="s">
        <v>70</v>
      </c>
      <c r="K10" s="15" t="s">
        <v>71</v>
      </c>
      <c r="L10" s="15" t="s">
        <v>75</v>
      </c>
      <c r="M10" s="15" t="s">
        <v>78</v>
      </c>
      <c r="N10" s="15" t="s">
        <v>79</v>
      </c>
      <c r="O10" s="17"/>
    </row>
    <row r="11" spans="1:15">
      <c r="A11" s="15"/>
      <c r="B11" s="18" t="s">
        <v>29</v>
      </c>
      <c r="C11" s="18" t="s">
        <v>38</v>
      </c>
      <c r="D11" s="18" t="s">
        <v>43</v>
      </c>
      <c r="E11" s="15"/>
      <c r="F11" s="15"/>
      <c r="G11" s="15"/>
      <c r="H11" s="15"/>
      <c r="I11" s="15"/>
      <c r="J11" s="15"/>
      <c r="K11" s="18" t="s">
        <v>72</v>
      </c>
      <c r="L11" s="19"/>
      <c r="M11" s="19"/>
      <c r="N11" s="18"/>
      <c r="O11" s="17"/>
    </row>
    <row r="12" spans="1:15">
      <c r="A12" s="23" t="s">
        <v>8</v>
      </c>
      <c r="B12" s="23" t="s">
        <v>30</v>
      </c>
      <c r="C12" s="23" t="s">
        <v>30</v>
      </c>
      <c r="D12" s="23" t="s">
        <v>44</v>
      </c>
      <c r="E12" s="23" t="s">
        <v>47</v>
      </c>
      <c r="F12" s="23" t="s">
        <v>53</v>
      </c>
      <c r="G12" s="23" t="s">
        <v>53</v>
      </c>
      <c r="H12" s="23" t="s">
        <v>43</v>
      </c>
      <c r="I12" s="23" t="s">
        <v>65</v>
      </c>
      <c r="J12" s="23" t="s">
        <v>65</v>
      </c>
      <c r="K12" s="30"/>
      <c r="L12" s="30"/>
      <c r="M12" s="30"/>
      <c r="N12" s="49" t="s">
        <v>85</v>
      </c>
      <c r="O12" s="17"/>
    </row>
    <row r="13" spans="1:15">
      <c r="A13" s="23"/>
      <c r="B13" s="23" t="s">
        <v>104</v>
      </c>
      <c r="C13" s="23" t="s">
        <v>106</v>
      </c>
      <c r="D13" s="23" t="s">
        <v>108</v>
      </c>
      <c r="E13" s="23" t="s">
        <v>48</v>
      </c>
      <c r="F13" s="23" t="s">
        <v>54</v>
      </c>
      <c r="G13" s="23" t="s">
        <v>54</v>
      </c>
      <c r="H13" s="23" t="s">
        <v>44</v>
      </c>
      <c r="I13" s="23" t="s">
        <v>55</v>
      </c>
      <c r="J13" s="23" t="s">
        <v>60</v>
      </c>
      <c r="K13" s="23" t="s">
        <v>73</v>
      </c>
      <c r="L13" s="23" t="s">
        <v>30</v>
      </c>
      <c r="M13" s="23"/>
      <c r="N13" s="23" t="s">
        <v>80</v>
      </c>
      <c r="O13" s="17"/>
    </row>
    <row r="14" spans="1:15">
      <c r="A14" s="22"/>
      <c r="B14" s="23" t="s">
        <v>105</v>
      </c>
      <c r="C14" s="23" t="s">
        <v>107</v>
      </c>
      <c r="D14" s="23" t="s">
        <v>109</v>
      </c>
      <c r="E14" s="22"/>
      <c r="F14" s="23" t="s">
        <v>55</v>
      </c>
      <c r="G14" s="23" t="s">
        <v>60</v>
      </c>
      <c r="H14" s="23" t="s">
        <v>62</v>
      </c>
      <c r="I14" s="22"/>
      <c r="J14" s="22"/>
      <c r="K14" s="23" t="s">
        <v>74</v>
      </c>
      <c r="L14" s="23" t="s">
        <v>76</v>
      </c>
      <c r="M14" s="23" t="s">
        <v>21</v>
      </c>
      <c r="N14" s="23" t="s">
        <v>81</v>
      </c>
      <c r="O14" s="17"/>
    </row>
    <row r="15" spans="1:15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</row>
    <row r="21" spans="1:14" ht="23.25">
      <c r="A21" s="59" t="s">
        <v>188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37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8">
      <c r="A8" s="82" t="s">
        <v>4</v>
      </c>
      <c r="B8" s="175" t="s">
        <v>162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10959</v>
      </c>
      <c r="L9" s="198" t="s">
        <v>0</v>
      </c>
      <c r="M9" s="93" t="s">
        <v>77</v>
      </c>
      <c r="N9" s="126">
        <v>2020</v>
      </c>
    </row>
    <row r="10" spans="1:15" ht="18.75" thickBot="1">
      <c r="A10" s="83" t="s">
        <v>6</v>
      </c>
      <c r="B10" s="176" t="s">
        <v>163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 ht="16.5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75" thickTop="1">
      <c r="A12" s="86"/>
      <c r="B12" s="86" t="s">
        <v>29</v>
      </c>
      <c r="C12" s="86" t="s">
        <v>38</v>
      </c>
      <c r="D12" s="86" t="s">
        <v>189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190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5"/>
      <c r="B15" s="115" t="s">
        <v>32</v>
      </c>
      <c r="C15" s="115" t="s">
        <v>40</v>
      </c>
      <c r="D15" s="115" t="s">
        <v>191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0</v>
      </c>
      <c r="C20" s="141">
        <v>0</v>
      </c>
      <c r="D20" s="141">
        <v>0</v>
      </c>
      <c r="E20" s="142">
        <f t="shared" si="0"/>
        <v>0</v>
      </c>
      <c r="F20" s="110">
        <v>0</v>
      </c>
      <c r="G20" s="142">
        <f t="shared" si="1"/>
        <v>0</v>
      </c>
      <c r="H20" s="155">
        <f t="shared" si="2"/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5">
      <c r="A21" s="140" t="s">
        <v>14</v>
      </c>
      <c r="B21" s="110">
        <v>3273</v>
      </c>
      <c r="C21" s="141">
        <v>0</v>
      </c>
      <c r="D21" s="141">
        <v>106</v>
      </c>
      <c r="E21" s="142">
        <f t="shared" si="0"/>
        <v>3167</v>
      </c>
      <c r="F21" s="110">
        <v>0</v>
      </c>
      <c r="G21" s="142">
        <f t="shared" si="1"/>
        <v>2555</v>
      </c>
      <c r="H21" s="155">
        <f t="shared" si="2"/>
        <v>344</v>
      </c>
      <c r="I21" s="110">
        <v>0</v>
      </c>
      <c r="J21" s="142">
        <f t="shared" si="3"/>
        <v>0</v>
      </c>
      <c r="K21" s="110">
        <v>268</v>
      </c>
      <c r="L21" s="110">
        <v>344</v>
      </c>
      <c r="M21" s="156">
        <f t="shared" si="4"/>
        <v>612</v>
      </c>
      <c r="N21" s="157">
        <f t="shared" si="5"/>
        <v>5.6000000000000001E-2</v>
      </c>
      <c r="O21" s="17"/>
    </row>
    <row r="22" spans="1:15">
      <c r="A22" s="140" t="s">
        <v>15</v>
      </c>
      <c r="B22" s="110">
        <v>7212</v>
      </c>
      <c r="C22" s="141">
        <v>0</v>
      </c>
      <c r="D22" s="141">
        <v>596</v>
      </c>
      <c r="E22" s="142">
        <f t="shared" si="0"/>
        <v>6616</v>
      </c>
      <c r="F22" s="110">
        <v>0</v>
      </c>
      <c r="G22" s="142">
        <f t="shared" si="1"/>
        <v>3462</v>
      </c>
      <c r="H22" s="155">
        <f t="shared" si="2"/>
        <v>1739</v>
      </c>
      <c r="I22" s="110">
        <v>0</v>
      </c>
      <c r="J22" s="142">
        <f t="shared" si="3"/>
        <v>0</v>
      </c>
      <c r="K22" s="110">
        <v>1415</v>
      </c>
      <c r="L22" s="110">
        <v>1739</v>
      </c>
      <c r="M22" s="156">
        <f t="shared" si="4"/>
        <v>3154</v>
      </c>
      <c r="N22" s="157">
        <f t="shared" si="5"/>
        <v>0.28799999999999998</v>
      </c>
      <c r="O22" s="17"/>
    </row>
    <row r="23" spans="1:15">
      <c r="A23" s="140" t="s">
        <v>16</v>
      </c>
      <c r="B23" s="110">
        <v>7291</v>
      </c>
      <c r="C23" s="141">
        <v>0</v>
      </c>
      <c r="D23" s="141">
        <v>866</v>
      </c>
      <c r="E23" s="142">
        <f t="shared" si="0"/>
        <v>6425</v>
      </c>
      <c r="F23" s="110">
        <v>0</v>
      </c>
      <c r="G23" s="142">
        <f t="shared" si="1"/>
        <v>3695</v>
      </c>
      <c r="H23" s="155">
        <f t="shared" si="2"/>
        <v>1436</v>
      </c>
      <c r="I23" s="110">
        <v>0</v>
      </c>
      <c r="J23" s="142">
        <f t="shared" si="3"/>
        <v>0</v>
      </c>
      <c r="K23" s="110">
        <v>1294</v>
      </c>
      <c r="L23" s="110">
        <v>1436</v>
      </c>
      <c r="M23" s="156">
        <f t="shared" si="4"/>
        <v>2730</v>
      </c>
      <c r="N23" s="157">
        <f t="shared" si="5"/>
        <v>0.249</v>
      </c>
      <c r="O23" s="17"/>
    </row>
    <row r="24" spans="1:15">
      <c r="A24" s="140" t="s">
        <v>17</v>
      </c>
      <c r="B24" s="110">
        <v>1622</v>
      </c>
      <c r="C24" s="141">
        <v>0</v>
      </c>
      <c r="D24" s="141">
        <v>249</v>
      </c>
      <c r="E24" s="142">
        <f t="shared" si="0"/>
        <v>1373</v>
      </c>
      <c r="F24" s="110">
        <v>0</v>
      </c>
      <c r="G24" s="142">
        <f t="shared" si="1"/>
        <v>406</v>
      </c>
      <c r="H24" s="155">
        <f t="shared" si="2"/>
        <v>576</v>
      </c>
      <c r="I24" s="110">
        <v>0</v>
      </c>
      <c r="J24" s="142">
        <f t="shared" si="3"/>
        <v>0</v>
      </c>
      <c r="K24" s="110">
        <v>391</v>
      </c>
      <c r="L24" s="110">
        <v>576</v>
      </c>
      <c r="M24" s="156">
        <f t="shared" si="4"/>
        <v>967</v>
      </c>
      <c r="N24" s="157">
        <f t="shared" si="5"/>
        <v>8.7999999999999995E-2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19398</v>
      </c>
      <c r="C28" s="158">
        <f>SUM(C16:C27)</f>
        <v>0</v>
      </c>
      <c r="D28" s="158">
        <f>SUM(D16:D27)</f>
        <v>1817</v>
      </c>
      <c r="E28" s="158">
        <f>SUM(E16:E27)</f>
        <v>17581</v>
      </c>
      <c r="F28" s="158">
        <f>SUM(F16:F27)</f>
        <v>0</v>
      </c>
      <c r="G28" s="158">
        <f t="shared" si="1"/>
        <v>10118</v>
      </c>
      <c r="H28" s="158">
        <f>SUM(H16:H27)</f>
        <v>4095</v>
      </c>
      <c r="I28" s="158">
        <f>SUM(I16:I27)</f>
        <v>0</v>
      </c>
      <c r="J28" s="158">
        <f t="shared" si="3"/>
        <v>0</v>
      </c>
      <c r="K28" s="158">
        <f>SUM(K16:K27)</f>
        <v>3368</v>
      </c>
      <c r="L28" s="158">
        <f>SUM(L16:L27)</f>
        <v>4095</v>
      </c>
      <c r="M28" s="159">
        <f>SUM(M16:M27)</f>
        <v>7463</v>
      </c>
      <c r="N28" s="160">
        <f t="shared" si="5"/>
        <v>0.68100000000000005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1.6</v>
      </c>
      <c r="F29" s="161">
        <f t="shared" si="6"/>
        <v>0</v>
      </c>
      <c r="G29" s="161">
        <f t="shared" si="6"/>
        <v>0.92</v>
      </c>
      <c r="H29" s="161">
        <f t="shared" si="6"/>
        <v>0.37</v>
      </c>
      <c r="I29" s="161">
        <f t="shared" si="6"/>
        <v>0</v>
      </c>
      <c r="J29" s="161">
        <f t="shared" si="6"/>
        <v>0</v>
      </c>
      <c r="K29" s="161">
        <f t="shared" si="6"/>
        <v>0.31</v>
      </c>
      <c r="L29" s="161">
        <f t="shared" si="6"/>
        <v>0.37</v>
      </c>
      <c r="M29" s="162">
        <f t="shared" si="6"/>
        <v>0.68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0</v>
      </c>
      <c r="G30" s="145">
        <f t="shared" si="7"/>
        <v>57.550765030430583</v>
      </c>
      <c r="H30" s="145">
        <f t="shared" si="7"/>
        <v>23.292190432853648</v>
      </c>
      <c r="I30" s="145">
        <f t="shared" si="7"/>
        <v>0</v>
      </c>
      <c r="J30" s="145">
        <f t="shared" si="7"/>
        <v>0</v>
      </c>
      <c r="K30" s="145">
        <f t="shared" si="7"/>
        <v>19.157044536715773</v>
      </c>
      <c r="L30" s="145">
        <f t="shared" si="7"/>
        <v>23.292190432853648</v>
      </c>
      <c r="M30" s="165">
        <f t="shared" si="7"/>
        <v>42.449234969569424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38"/>
  <sheetViews>
    <sheetView showOutlineSymbols="0" topLeftCell="A2" zoomScale="87" zoomScaleNormal="87" workbookViewId="0">
      <selection activeCell="C40" sqref="C40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8">
      <c r="A8" s="82" t="s">
        <v>4</v>
      </c>
      <c r="B8" s="175" t="s">
        <v>86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4489</v>
      </c>
      <c r="L9" s="84"/>
      <c r="M9" s="93" t="s">
        <v>77</v>
      </c>
      <c r="N9" s="126">
        <v>2020</v>
      </c>
    </row>
    <row r="10" spans="1:15" ht="18.75" thickBot="1">
      <c r="A10" s="83" t="s">
        <v>6</v>
      </c>
      <c r="B10" s="176" t="s">
        <v>87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 ht="16.5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75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204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204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204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0</v>
      </c>
      <c r="C19" s="204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2050</v>
      </c>
      <c r="C20" s="204">
        <v>0</v>
      </c>
      <c r="D20" s="141">
        <v>0</v>
      </c>
      <c r="E20" s="142">
        <f t="shared" si="0"/>
        <v>2050</v>
      </c>
      <c r="F20" s="110">
        <v>249</v>
      </c>
      <c r="G20" s="142">
        <f t="shared" si="1"/>
        <v>1781</v>
      </c>
      <c r="H20" s="155">
        <f t="shared" si="2"/>
        <v>12</v>
      </c>
      <c r="I20" s="110">
        <v>0</v>
      </c>
      <c r="J20" s="142">
        <f t="shared" si="3"/>
        <v>0</v>
      </c>
      <c r="K20" s="110">
        <v>8</v>
      </c>
      <c r="L20" s="110">
        <v>12</v>
      </c>
      <c r="M20" s="156">
        <f t="shared" si="4"/>
        <v>20</v>
      </c>
      <c r="N20" s="157">
        <f t="shared" si="5"/>
        <v>4.0000000000000001E-3</v>
      </c>
      <c r="O20" s="17"/>
    </row>
    <row r="21" spans="1:15">
      <c r="A21" s="140" t="s">
        <v>14</v>
      </c>
      <c r="B21" s="110">
        <v>1751</v>
      </c>
      <c r="C21" s="204">
        <v>103</v>
      </c>
      <c r="D21" s="141">
        <v>0</v>
      </c>
      <c r="E21" s="142">
        <f t="shared" si="0"/>
        <v>1854</v>
      </c>
      <c r="F21" s="110">
        <v>612</v>
      </c>
      <c r="G21" s="142">
        <f t="shared" si="1"/>
        <v>958</v>
      </c>
      <c r="H21" s="155">
        <f t="shared" si="2"/>
        <v>159</v>
      </c>
      <c r="I21" s="110">
        <v>0</v>
      </c>
      <c r="J21" s="142">
        <f t="shared" si="3"/>
        <v>0</v>
      </c>
      <c r="K21" s="110">
        <v>125</v>
      </c>
      <c r="L21" s="110">
        <v>159</v>
      </c>
      <c r="M21" s="156">
        <f t="shared" si="4"/>
        <v>284</v>
      </c>
      <c r="N21" s="157">
        <f t="shared" si="5"/>
        <v>6.3E-2</v>
      </c>
      <c r="O21" s="17"/>
    </row>
    <row r="22" spans="1:15">
      <c r="A22" s="140" t="s">
        <v>15</v>
      </c>
      <c r="B22" s="110">
        <v>1260</v>
      </c>
      <c r="C22" s="204">
        <v>190</v>
      </c>
      <c r="D22" s="141">
        <v>0</v>
      </c>
      <c r="E22" s="142">
        <f t="shared" si="0"/>
        <v>1450</v>
      </c>
      <c r="F22" s="110">
        <v>389</v>
      </c>
      <c r="G22" s="142">
        <f t="shared" si="1"/>
        <v>344</v>
      </c>
      <c r="H22" s="155">
        <f t="shared" si="2"/>
        <v>385</v>
      </c>
      <c r="I22" s="110">
        <v>0</v>
      </c>
      <c r="J22" s="142">
        <f t="shared" si="3"/>
        <v>0</v>
      </c>
      <c r="K22" s="110">
        <v>332</v>
      </c>
      <c r="L22" s="110">
        <v>385</v>
      </c>
      <c r="M22" s="156">
        <f t="shared" si="4"/>
        <v>717</v>
      </c>
      <c r="N22" s="157">
        <f t="shared" si="5"/>
        <v>0.16</v>
      </c>
      <c r="O22" s="17"/>
    </row>
    <row r="23" spans="1:15">
      <c r="A23" s="140" t="s">
        <v>16</v>
      </c>
      <c r="B23" s="110">
        <v>1111</v>
      </c>
      <c r="C23" s="204">
        <v>568</v>
      </c>
      <c r="D23" s="141">
        <v>0</v>
      </c>
      <c r="E23" s="142">
        <f t="shared" si="0"/>
        <v>1679</v>
      </c>
      <c r="F23" s="110">
        <v>134</v>
      </c>
      <c r="G23" s="142">
        <f t="shared" si="1"/>
        <v>405</v>
      </c>
      <c r="H23" s="155">
        <f t="shared" si="2"/>
        <v>615</v>
      </c>
      <c r="I23" s="110">
        <v>0</v>
      </c>
      <c r="J23" s="142">
        <f t="shared" si="3"/>
        <v>0</v>
      </c>
      <c r="K23" s="110">
        <v>525</v>
      </c>
      <c r="L23" s="110">
        <v>615</v>
      </c>
      <c r="M23" s="156">
        <f t="shared" si="4"/>
        <v>1140</v>
      </c>
      <c r="N23" s="157">
        <f t="shared" si="5"/>
        <v>0.254</v>
      </c>
      <c r="O23" s="17"/>
    </row>
    <row r="24" spans="1:15">
      <c r="A24" s="140" t="s">
        <v>17</v>
      </c>
      <c r="B24" s="110">
        <v>186</v>
      </c>
      <c r="C24" s="204">
        <v>169</v>
      </c>
      <c r="D24" s="141">
        <v>0</v>
      </c>
      <c r="E24" s="142">
        <f t="shared" si="0"/>
        <v>355</v>
      </c>
      <c r="F24" s="110">
        <v>13</v>
      </c>
      <c r="G24" s="142">
        <f t="shared" si="1"/>
        <v>16</v>
      </c>
      <c r="H24" s="155">
        <f t="shared" si="2"/>
        <v>197</v>
      </c>
      <c r="I24" s="110">
        <v>0</v>
      </c>
      <c r="J24" s="142">
        <f t="shared" si="3"/>
        <v>0</v>
      </c>
      <c r="K24" s="110">
        <v>129</v>
      </c>
      <c r="L24" s="110">
        <v>197</v>
      </c>
      <c r="M24" s="156">
        <f t="shared" si="4"/>
        <v>326</v>
      </c>
      <c r="N24" s="157">
        <f t="shared" si="5"/>
        <v>7.2999999999999995E-2</v>
      </c>
      <c r="O24" s="17"/>
    </row>
    <row r="25" spans="1:15">
      <c r="A25" s="140" t="s">
        <v>18</v>
      </c>
      <c r="B25" s="110">
        <v>0</v>
      </c>
      <c r="C25" s="204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204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204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6358</v>
      </c>
      <c r="C28" s="158">
        <f>SUM(C16:C27)</f>
        <v>1030</v>
      </c>
      <c r="D28" s="158">
        <f>SUM(D16:D27)</f>
        <v>0</v>
      </c>
      <c r="E28" s="158">
        <f>SUM(E16:E27)</f>
        <v>7388</v>
      </c>
      <c r="F28" s="158">
        <f>SUM(F16:F27)</f>
        <v>1397</v>
      </c>
      <c r="G28" s="158">
        <f t="shared" si="1"/>
        <v>3504</v>
      </c>
      <c r="H28" s="158">
        <f>SUM(H16:H27)</f>
        <v>1368</v>
      </c>
      <c r="I28" s="158">
        <f>SUM(I16:I27)</f>
        <v>0</v>
      </c>
      <c r="J28" s="158">
        <f t="shared" si="3"/>
        <v>0</v>
      </c>
      <c r="K28" s="158">
        <f>SUM(K16:K27)</f>
        <v>1119</v>
      </c>
      <c r="L28" s="158">
        <f>SUM(L16:L27)</f>
        <v>1368</v>
      </c>
      <c r="M28" s="159">
        <f>SUM(M16:M27)</f>
        <v>2487</v>
      </c>
      <c r="N28" s="160">
        <f t="shared" si="5"/>
        <v>0.55400000000000005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1.65</v>
      </c>
      <c r="F29" s="161">
        <f t="shared" si="6"/>
        <v>0.31</v>
      </c>
      <c r="G29" s="161">
        <f t="shared" si="6"/>
        <v>0.78</v>
      </c>
      <c r="H29" s="161">
        <f t="shared" si="6"/>
        <v>0.3</v>
      </c>
      <c r="I29" s="161">
        <f t="shared" si="6"/>
        <v>0</v>
      </c>
      <c r="J29" s="161">
        <f t="shared" si="6"/>
        <v>0</v>
      </c>
      <c r="K29" s="161">
        <f t="shared" si="6"/>
        <v>0.25</v>
      </c>
      <c r="L29" s="161">
        <f t="shared" si="6"/>
        <v>0.3</v>
      </c>
      <c r="M29" s="162">
        <f t="shared" si="6"/>
        <v>0.55000000000000004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18.909041689225774</v>
      </c>
      <c r="G30" s="145">
        <f t="shared" si="7"/>
        <v>47.42826204656199</v>
      </c>
      <c r="H30" s="145">
        <f t="shared" si="7"/>
        <v>18.516513264753655</v>
      </c>
      <c r="I30" s="145">
        <f t="shared" si="7"/>
        <v>0</v>
      </c>
      <c r="J30" s="145">
        <f t="shared" si="7"/>
        <v>0</v>
      </c>
      <c r="K30" s="145">
        <f t="shared" si="7"/>
        <v>15.146182999458583</v>
      </c>
      <c r="L30" s="145">
        <f t="shared" si="7"/>
        <v>18.516513264753655</v>
      </c>
      <c r="M30" s="165">
        <f t="shared" si="7"/>
        <v>33.662696264212236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38" spans="1:15" ht="25.5">
      <c r="B38" s="196"/>
      <c r="C38" s="195"/>
      <c r="D38" s="195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39"/>
  <sheetViews>
    <sheetView showOutlineSymbols="0" topLeftCell="A4" zoomScale="87" zoomScaleNormal="87" workbookViewId="0">
      <selection activeCell="C40" sqref="C40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8">
      <c r="A8" s="82" t="s">
        <v>4</v>
      </c>
      <c r="B8" s="74" t="s">
        <v>178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2476</v>
      </c>
      <c r="L9" s="84"/>
      <c r="M9" s="93" t="s">
        <v>77</v>
      </c>
      <c r="N9" s="126">
        <v>2020</v>
      </c>
    </row>
    <row r="10" spans="1:15" ht="18">
      <c r="A10" s="83" t="s">
        <v>6</v>
      </c>
      <c r="B10" s="84" t="s">
        <v>179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0</v>
      </c>
      <c r="C20" s="141">
        <v>0</v>
      </c>
      <c r="D20" s="141">
        <v>0</v>
      </c>
      <c r="E20" s="142">
        <f t="shared" si="0"/>
        <v>0</v>
      </c>
      <c r="F20" s="110">
        <v>0</v>
      </c>
      <c r="G20" s="142">
        <f t="shared" si="1"/>
        <v>0</v>
      </c>
      <c r="H20" s="155">
        <f t="shared" si="2"/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5">
      <c r="A21" s="140" t="s">
        <v>14</v>
      </c>
      <c r="B21" s="110">
        <v>652</v>
      </c>
      <c r="C21" s="141">
        <v>0</v>
      </c>
      <c r="D21" s="141">
        <v>0</v>
      </c>
      <c r="E21" s="142">
        <f t="shared" si="0"/>
        <v>652</v>
      </c>
      <c r="F21" s="110">
        <v>0</v>
      </c>
      <c r="G21" s="142">
        <f t="shared" si="1"/>
        <v>652</v>
      </c>
      <c r="H21" s="155">
        <f t="shared" si="2"/>
        <v>0</v>
      </c>
      <c r="I21" s="110">
        <v>0</v>
      </c>
      <c r="J21" s="142">
        <f t="shared" si="3"/>
        <v>0</v>
      </c>
      <c r="K21" s="110">
        <v>0</v>
      </c>
      <c r="L21" s="110">
        <v>0</v>
      </c>
      <c r="M21" s="156">
        <f t="shared" si="4"/>
        <v>0</v>
      </c>
      <c r="N21" s="157">
        <f t="shared" si="5"/>
        <v>0</v>
      </c>
      <c r="O21" s="17"/>
    </row>
    <row r="22" spans="1:15">
      <c r="A22" s="140" t="s">
        <v>15</v>
      </c>
      <c r="B22" s="110">
        <v>2433</v>
      </c>
      <c r="C22" s="141">
        <v>0</v>
      </c>
      <c r="D22" s="141">
        <v>0</v>
      </c>
      <c r="E22" s="142">
        <f t="shared" si="0"/>
        <v>2433</v>
      </c>
      <c r="F22" s="110">
        <v>0</v>
      </c>
      <c r="G22" s="142">
        <f t="shared" si="1"/>
        <v>1783</v>
      </c>
      <c r="H22" s="155">
        <f t="shared" si="2"/>
        <v>163</v>
      </c>
      <c r="I22" s="110">
        <v>0</v>
      </c>
      <c r="J22" s="142">
        <f t="shared" si="3"/>
        <v>0</v>
      </c>
      <c r="K22" s="110">
        <v>487</v>
      </c>
      <c r="L22" s="110">
        <v>163</v>
      </c>
      <c r="M22" s="156">
        <f t="shared" si="4"/>
        <v>650</v>
      </c>
      <c r="N22" s="157">
        <f t="shared" si="5"/>
        <v>0.26300000000000001</v>
      </c>
      <c r="O22" s="17"/>
    </row>
    <row r="23" spans="1:15">
      <c r="A23" s="140" t="s">
        <v>16</v>
      </c>
      <c r="B23" s="110">
        <v>1784</v>
      </c>
      <c r="C23" s="141">
        <v>0</v>
      </c>
      <c r="D23" s="141">
        <v>0</v>
      </c>
      <c r="E23" s="142">
        <f t="shared" si="0"/>
        <v>1784</v>
      </c>
      <c r="F23" s="110">
        <v>0</v>
      </c>
      <c r="G23" s="142">
        <f t="shared" si="1"/>
        <v>1167</v>
      </c>
      <c r="H23" s="155">
        <f t="shared" si="2"/>
        <v>90</v>
      </c>
      <c r="I23" s="110">
        <v>0</v>
      </c>
      <c r="J23" s="142">
        <f t="shared" si="3"/>
        <v>0</v>
      </c>
      <c r="K23" s="110">
        <v>527</v>
      </c>
      <c r="L23" s="110">
        <v>90</v>
      </c>
      <c r="M23" s="156">
        <f t="shared" si="4"/>
        <v>617</v>
      </c>
      <c r="N23" s="157">
        <f t="shared" si="5"/>
        <v>0.249</v>
      </c>
      <c r="O23" s="17"/>
    </row>
    <row r="24" spans="1:15">
      <c r="A24" s="140" t="s">
        <v>17</v>
      </c>
      <c r="B24" s="110">
        <v>357</v>
      </c>
      <c r="C24" s="141">
        <v>0</v>
      </c>
      <c r="D24" s="141">
        <v>0</v>
      </c>
      <c r="E24" s="142">
        <f t="shared" si="0"/>
        <v>357</v>
      </c>
      <c r="F24" s="110">
        <v>0</v>
      </c>
      <c r="G24" s="142">
        <f t="shared" si="1"/>
        <v>201</v>
      </c>
      <c r="H24" s="155">
        <f t="shared" si="2"/>
        <v>9</v>
      </c>
      <c r="I24" s="110">
        <v>0</v>
      </c>
      <c r="J24" s="142">
        <f t="shared" si="3"/>
        <v>0</v>
      </c>
      <c r="K24" s="110">
        <v>147</v>
      </c>
      <c r="L24" s="110">
        <v>9</v>
      </c>
      <c r="M24" s="156">
        <f t="shared" si="4"/>
        <v>156</v>
      </c>
      <c r="N24" s="157">
        <f t="shared" si="5"/>
        <v>6.3E-2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5226</v>
      </c>
      <c r="C28" s="158">
        <f>SUM(C16:C27)</f>
        <v>0</v>
      </c>
      <c r="D28" s="158">
        <f>SUM(D16:D27)</f>
        <v>0</v>
      </c>
      <c r="E28" s="158">
        <f>SUM(E16:E27)</f>
        <v>5226</v>
      </c>
      <c r="F28" s="158">
        <f>SUM(F16:F27)</f>
        <v>0</v>
      </c>
      <c r="G28" s="158">
        <f t="shared" si="1"/>
        <v>3803</v>
      </c>
      <c r="H28" s="158">
        <f>SUM(H16:H27)</f>
        <v>262</v>
      </c>
      <c r="I28" s="158">
        <f>SUM(I16:I27)</f>
        <v>0</v>
      </c>
      <c r="J28" s="158">
        <f t="shared" si="3"/>
        <v>0</v>
      </c>
      <c r="K28" s="158">
        <f>SUM(K16:K27)</f>
        <v>1161</v>
      </c>
      <c r="L28" s="158">
        <f>SUM(L16:L27)</f>
        <v>262</v>
      </c>
      <c r="M28" s="159">
        <f>SUM(M16:M27)</f>
        <v>1423</v>
      </c>
      <c r="N28" s="160">
        <f t="shared" si="5"/>
        <v>0.57499999999999996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2.11</v>
      </c>
      <c r="F29" s="161">
        <f t="shared" si="6"/>
        <v>0</v>
      </c>
      <c r="G29" s="161">
        <f t="shared" si="6"/>
        <v>1.54</v>
      </c>
      <c r="H29" s="161">
        <f t="shared" si="6"/>
        <v>0.11</v>
      </c>
      <c r="I29" s="161">
        <f t="shared" si="6"/>
        <v>0</v>
      </c>
      <c r="J29" s="161">
        <f t="shared" si="6"/>
        <v>0</v>
      </c>
      <c r="K29" s="161">
        <f t="shared" si="6"/>
        <v>0.47</v>
      </c>
      <c r="L29" s="161">
        <f t="shared" si="6"/>
        <v>0.11</v>
      </c>
      <c r="M29" s="162">
        <f t="shared" si="6"/>
        <v>0.56999999999999995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0</v>
      </c>
      <c r="G30" s="145">
        <f t="shared" si="7"/>
        <v>72.770761576731729</v>
      </c>
      <c r="H30" s="145">
        <f t="shared" si="7"/>
        <v>5.0133945656333712</v>
      </c>
      <c r="I30" s="145">
        <f t="shared" si="7"/>
        <v>0</v>
      </c>
      <c r="J30" s="145">
        <f t="shared" si="7"/>
        <v>0</v>
      </c>
      <c r="K30" s="145">
        <f t="shared" si="7"/>
        <v>22.215843857634905</v>
      </c>
      <c r="L30" s="145">
        <f t="shared" si="7"/>
        <v>5.0133945656333712</v>
      </c>
      <c r="M30" s="165">
        <f t="shared" si="7"/>
        <v>27.229238423268278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39" spans="1:15" ht="30"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38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1" customWidth="1"/>
    <col min="2" max="4" width="7.6640625" style="1" customWidth="1"/>
    <col min="5" max="5" width="8.77734375" style="1" customWidth="1"/>
    <col min="6" max="6" width="7.6640625" style="1" customWidth="1"/>
    <col min="7" max="7" width="8.88671875" style="1" customWidth="1"/>
    <col min="8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 t="s">
        <v>0</v>
      </c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7"/>
      <c r="N7" s="7"/>
    </row>
    <row r="8" spans="1:15" ht="18">
      <c r="A8" s="8" t="s">
        <v>4</v>
      </c>
      <c r="B8" s="135" t="s">
        <v>94</v>
      </c>
      <c r="C8" s="135"/>
      <c r="D8" s="135"/>
      <c r="E8" s="135"/>
      <c r="F8" s="135"/>
      <c r="G8" s="8" t="s">
        <v>56</v>
      </c>
      <c r="H8" s="135"/>
      <c r="I8" s="135" t="s">
        <v>88</v>
      </c>
      <c r="J8" s="135"/>
      <c r="K8" s="135"/>
      <c r="L8" s="135"/>
      <c r="M8" s="153"/>
      <c r="N8" s="153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8">
        <v>16006</v>
      </c>
      <c r="L9" s="137"/>
      <c r="M9" s="13" t="s">
        <v>77</v>
      </c>
      <c r="N9" s="109">
        <v>2020</v>
      </c>
    </row>
    <row r="10" spans="1:15" ht="18.75" thickBot="1">
      <c r="A10" s="10" t="s">
        <v>6</v>
      </c>
      <c r="B10" s="137" t="s">
        <v>87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4"/>
      <c r="N10" s="14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54" t="s">
        <v>78</v>
      </c>
      <c r="N11" s="154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95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139"/>
      <c r="B13" s="23" t="s">
        <v>30</v>
      </c>
      <c r="C13" s="23" t="s">
        <v>30</v>
      </c>
      <c r="D13" s="23" t="s">
        <v>96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51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97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98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115</v>
      </c>
      <c r="C19" s="141">
        <v>0</v>
      </c>
      <c r="D19" s="141">
        <v>0</v>
      </c>
      <c r="E19" s="142">
        <f t="shared" si="0"/>
        <v>115</v>
      </c>
      <c r="F19" s="110">
        <v>18</v>
      </c>
      <c r="G19" s="142">
        <f t="shared" si="1"/>
        <v>97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4359</v>
      </c>
      <c r="C20" s="141">
        <v>0</v>
      </c>
      <c r="D20" s="141">
        <v>0</v>
      </c>
      <c r="E20" s="142">
        <f t="shared" si="0"/>
        <v>4359</v>
      </c>
      <c r="F20" s="110">
        <v>19</v>
      </c>
      <c r="G20" s="142">
        <f t="shared" si="1"/>
        <v>4293</v>
      </c>
      <c r="H20" s="155">
        <f>L20</f>
        <v>17</v>
      </c>
      <c r="I20" s="110">
        <v>0</v>
      </c>
      <c r="J20" s="142">
        <f t="shared" si="3"/>
        <v>0</v>
      </c>
      <c r="K20" s="110">
        <v>30</v>
      </c>
      <c r="L20" s="110">
        <v>17</v>
      </c>
      <c r="M20" s="156">
        <f t="shared" si="4"/>
        <v>47</v>
      </c>
      <c r="N20" s="157">
        <f t="shared" si="5"/>
        <v>3.0000000000000001E-3</v>
      </c>
      <c r="O20" s="17"/>
    </row>
    <row r="21" spans="1:15">
      <c r="A21" s="140" t="s">
        <v>14</v>
      </c>
      <c r="B21" s="110">
        <v>6033</v>
      </c>
      <c r="C21" s="141">
        <v>0</v>
      </c>
      <c r="D21" s="141">
        <v>0</v>
      </c>
      <c r="E21" s="142">
        <f t="shared" si="0"/>
        <v>6033</v>
      </c>
      <c r="F21" s="110">
        <v>544</v>
      </c>
      <c r="G21" s="142">
        <f t="shared" si="1"/>
        <v>4399</v>
      </c>
      <c r="H21" s="155">
        <f t="shared" si="2"/>
        <v>514</v>
      </c>
      <c r="I21" s="110">
        <v>0</v>
      </c>
      <c r="J21" s="142">
        <f t="shared" si="3"/>
        <v>0</v>
      </c>
      <c r="K21" s="110">
        <v>576</v>
      </c>
      <c r="L21" s="110">
        <v>514</v>
      </c>
      <c r="M21" s="156">
        <f t="shared" si="4"/>
        <v>1090</v>
      </c>
      <c r="N21" s="157">
        <f t="shared" si="5"/>
        <v>6.8000000000000005E-2</v>
      </c>
      <c r="O21" s="17"/>
    </row>
    <row r="22" spans="1:15">
      <c r="A22" s="140" t="s">
        <v>15</v>
      </c>
      <c r="B22" s="110">
        <v>6838</v>
      </c>
      <c r="C22" s="141">
        <v>0</v>
      </c>
      <c r="D22" s="141">
        <v>0</v>
      </c>
      <c r="E22" s="142">
        <f t="shared" si="0"/>
        <v>6838</v>
      </c>
      <c r="F22" s="110">
        <v>308</v>
      </c>
      <c r="G22" s="142">
        <f t="shared" si="1"/>
        <v>2339</v>
      </c>
      <c r="H22" s="155">
        <f t="shared" si="2"/>
        <v>1890</v>
      </c>
      <c r="I22" s="110">
        <v>0</v>
      </c>
      <c r="J22" s="142">
        <f t="shared" si="3"/>
        <v>0</v>
      </c>
      <c r="K22" s="110">
        <v>2301</v>
      </c>
      <c r="L22" s="110">
        <v>1890</v>
      </c>
      <c r="M22" s="156">
        <f t="shared" si="4"/>
        <v>4191</v>
      </c>
      <c r="N22" s="157">
        <f t="shared" si="5"/>
        <v>0.26200000000000001</v>
      </c>
      <c r="O22" s="17"/>
    </row>
    <row r="23" spans="1:15">
      <c r="A23" s="140" t="s">
        <v>16</v>
      </c>
      <c r="B23" s="110">
        <v>7866</v>
      </c>
      <c r="C23" s="141">
        <v>0</v>
      </c>
      <c r="D23" s="141">
        <v>0</v>
      </c>
      <c r="E23" s="142">
        <f t="shared" si="0"/>
        <v>7866</v>
      </c>
      <c r="F23" s="110">
        <v>177</v>
      </c>
      <c r="G23" s="142">
        <f t="shared" si="1"/>
        <v>3038</v>
      </c>
      <c r="H23" s="155">
        <f t="shared" si="2"/>
        <v>2206</v>
      </c>
      <c r="I23" s="110">
        <v>0</v>
      </c>
      <c r="J23" s="142">
        <f t="shared" si="3"/>
        <v>0</v>
      </c>
      <c r="K23" s="110">
        <v>2445</v>
      </c>
      <c r="L23" s="110">
        <v>2206</v>
      </c>
      <c r="M23" s="156">
        <f t="shared" si="4"/>
        <v>4651</v>
      </c>
      <c r="N23" s="157">
        <f t="shared" si="5"/>
        <v>0.29099999999999998</v>
      </c>
      <c r="O23" s="17"/>
    </row>
    <row r="24" spans="1:15">
      <c r="A24" s="140" t="s">
        <v>17</v>
      </c>
      <c r="B24" s="110">
        <v>1503</v>
      </c>
      <c r="C24" s="141">
        <v>0</v>
      </c>
      <c r="D24" s="141">
        <v>0</v>
      </c>
      <c r="E24" s="142">
        <f t="shared" si="0"/>
        <v>1503</v>
      </c>
      <c r="F24" s="110">
        <v>127</v>
      </c>
      <c r="G24" s="142">
        <f t="shared" si="1"/>
        <v>248</v>
      </c>
      <c r="H24" s="155">
        <f t="shared" si="2"/>
        <v>466</v>
      </c>
      <c r="I24" s="110">
        <v>0</v>
      </c>
      <c r="J24" s="142">
        <f t="shared" si="3"/>
        <v>0</v>
      </c>
      <c r="K24" s="110">
        <v>662</v>
      </c>
      <c r="L24" s="110">
        <v>466</v>
      </c>
      <c r="M24" s="156">
        <f t="shared" si="4"/>
        <v>1128</v>
      </c>
      <c r="N24" s="157">
        <f t="shared" si="5"/>
        <v>7.0000000000000007E-2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26714</v>
      </c>
      <c r="C28" s="158">
        <f>SUM(C16:C27)</f>
        <v>0</v>
      </c>
      <c r="D28" s="158">
        <f>SUM(D16:D27)</f>
        <v>0</v>
      </c>
      <c r="E28" s="158">
        <f>SUM(E16:E27)</f>
        <v>26714</v>
      </c>
      <c r="F28" s="158">
        <f>SUM(F16:F27)</f>
        <v>1193</v>
      </c>
      <c r="G28" s="158">
        <f t="shared" si="1"/>
        <v>14414</v>
      </c>
      <c r="H28" s="158">
        <f>SUM(H16:H27)</f>
        <v>5093</v>
      </c>
      <c r="I28" s="158">
        <f>SUM(I16:I27)</f>
        <v>0</v>
      </c>
      <c r="J28" s="158">
        <f t="shared" si="3"/>
        <v>0</v>
      </c>
      <c r="K28" s="158">
        <f>SUM(K16:K27)</f>
        <v>6014</v>
      </c>
      <c r="L28" s="158">
        <f>SUM(L16:L27)</f>
        <v>5093</v>
      </c>
      <c r="M28" s="159">
        <f>SUM(M16:M27)</f>
        <v>11107</v>
      </c>
      <c r="N28" s="160">
        <f t="shared" si="5"/>
        <v>0.69399999999999995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1.67</v>
      </c>
      <c r="F29" s="161">
        <f t="shared" si="6"/>
        <v>7.0000000000000007E-2</v>
      </c>
      <c r="G29" s="161">
        <f t="shared" si="6"/>
        <v>0.9</v>
      </c>
      <c r="H29" s="161">
        <f t="shared" si="6"/>
        <v>0.32</v>
      </c>
      <c r="I29" s="161">
        <f t="shared" si="6"/>
        <v>0</v>
      </c>
      <c r="J29" s="161">
        <f t="shared" si="6"/>
        <v>0</v>
      </c>
      <c r="K29" s="161">
        <f t="shared" si="6"/>
        <v>0.38</v>
      </c>
      <c r="L29" s="161">
        <f t="shared" si="6"/>
        <v>0.32</v>
      </c>
      <c r="M29" s="162">
        <f t="shared" si="6"/>
        <v>0.69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4.4658231638841057</v>
      </c>
      <c r="G30" s="145">
        <f t="shared" si="7"/>
        <v>53.956726809912404</v>
      </c>
      <c r="H30" s="145">
        <f t="shared" si="7"/>
        <v>19.064909785131391</v>
      </c>
      <c r="I30" s="145">
        <f t="shared" si="7"/>
        <v>0</v>
      </c>
      <c r="J30" s="145">
        <f t="shared" si="7"/>
        <v>0</v>
      </c>
      <c r="K30" s="145">
        <f t="shared" si="7"/>
        <v>22.512540241072095</v>
      </c>
      <c r="L30" s="145">
        <f t="shared" si="7"/>
        <v>19.064909785131391</v>
      </c>
      <c r="M30" s="165">
        <f t="shared" si="7"/>
        <v>41.577450026203486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</row>
    <row r="38" spans="1:15">
      <c r="A38" s="135"/>
      <c r="B38" s="136"/>
      <c r="C38" s="136" t="s">
        <v>0</v>
      </c>
      <c r="D38" s="136" t="s">
        <v>0</v>
      </c>
      <c r="E38" s="150" t="s">
        <v>0</v>
      </c>
      <c r="F38" s="136"/>
      <c r="G38" s="136"/>
      <c r="H38" s="136"/>
      <c r="I38" s="136"/>
      <c r="J38" s="136"/>
      <c r="K38" s="136"/>
      <c r="L38" s="136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37"/>
  <sheetViews>
    <sheetView showOutlineSymbols="0" topLeftCell="A16" zoomScale="87" zoomScaleNormal="87" workbookViewId="0">
      <selection activeCell="P11" sqref="P11"/>
    </sheetView>
  </sheetViews>
  <sheetFormatPr defaultColWidth="9.6640625" defaultRowHeight="15"/>
  <cols>
    <col min="1" max="1" width="15.6640625" style="1" customWidth="1"/>
    <col min="2" max="2" width="7.6640625" style="1" customWidth="1"/>
    <col min="3" max="3" width="6.88671875" style="1" customWidth="1"/>
    <col min="4" max="4" width="8.5546875" style="1" customWidth="1"/>
    <col min="5" max="5" width="8.44140625" style="1" customWidth="1"/>
    <col min="6" max="6" width="7.88671875" style="1" customWidth="1"/>
    <col min="7" max="7" width="8.33203125" style="1" customWidth="1"/>
    <col min="8" max="14" width="7.6640625" style="1" customWidth="1"/>
    <col min="15" max="15" width="3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" t="s">
        <v>0</v>
      </c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7"/>
      <c r="N7" s="7"/>
    </row>
    <row r="8" spans="1:15" ht="18">
      <c r="A8" s="8" t="s">
        <v>4</v>
      </c>
      <c r="B8" s="135" t="s">
        <v>111</v>
      </c>
      <c r="C8" s="135"/>
      <c r="D8" s="135"/>
      <c r="E8" s="135"/>
      <c r="F8" s="135"/>
      <c r="G8" s="8" t="s">
        <v>56</v>
      </c>
      <c r="H8" s="135"/>
      <c r="I8" s="135" t="s">
        <v>88</v>
      </c>
      <c r="J8" s="135"/>
      <c r="K8" s="135"/>
      <c r="L8" s="135"/>
      <c r="M8" s="153"/>
      <c r="N8" s="153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8">
        <v>33928</v>
      </c>
      <c r="L9" s="137"/>
      <c r="M9" s="13" t="s">
        <v>77</v>
      </c>
      <c r="N9" s="109">
        <v>2020</v>
      </c>
    </row>
    <row r="10" spans="1:15" ht="18.75" thickBot="1">
      <c r="A10" s="10" t="s">
        <v>6</v>
      </c>
      <c r="B10" s="137" t="s">
        <v>112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4"/>
      <c r="N10" s="14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54" t="s">
        <v>78</v>
      </c>
      <c r="N11" s="154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189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51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192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191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140" t="s">
        <v>9</v>
      </c>
      <c r="B16" s="110">
        <v>0</v>
      </c>
      <c r="C16" s="204">
        <v>0</v>
      </c>
      <c r="D16" s="204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204">
        <v>0</v>
      </c>
      <c r="D17" s="204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204">
        <v>0</v>
      </c>
      <c r="D18" s="204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115</v>
      </c>
      <c r="C19" s="204">
        <v>0</v>
      </c>
      <c r="D19" s="204">
        <v>0</v>
      </c>
      <c r="E19" s="142">
        <f t="shared" si="0"/>
        <v>115</v>
      </c>
      <c r="F19" s="110">
        <v>18</v>
      </c>
      <c r="G19" s="142">
        <f t="shared" si="1"/>
        <v>97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6409</v>
      </c>
      <c r="C20" s="204">
        <v>0</v>
      </c>
      <c r="D20" s="204">
        <v>0</v>
      </c>
      <c r="E20" s="142">
        <f t="shared" si="0"/>
        <v>6409</v>
      </c>
      <c r="F20" s="110">
        <v>268</v>
      </c>
      <c r="G20" s="142">
        <f t="shared" si="1"/>
        <v>6074</v>
      </c>
      <c r="H20" s="155">
        <f t="shared" si="2"/>
        <v>29</v>
      </c>
      <c r="I20" s="110">
        <v>0</v>
      </c>
      <c r="J20" s="142">
        <f t="shared" si="3"/>
        <v>0</v>
      </c>
      <c r="K20" s="110">
        <v>38</v>
      </c>
      <c r="L20" s="110">
        <v>29</v>
      </c>
      <c r="M20" s="156">
        <f t="shared" si="4"/>
        <v>67</v>
      </c>
      <c r="N20" s="157">
        <f t="shared" si="5"/>
        <v>2E-3</v>
      </c>
      <c r="O20" s="17"/>
    </row>
    <row r="21" spans="1:15">
      <c r="A21" s="140" t="s">
        <v>14</v>
      </c>
      <c r="B21" s="110">
        <v>11812</v>
      </c>
      <c r="C21" s="204">
        <v>103</v>
      </c>
      <c r="D21" s="204">
        <f>'mk drift'!D21</f>
        <v>106</v>
      </c>
      <c r="E21" s="142">
        <f t="shared" si="0"/>
        <v>11809</v>
      </c>
      <c r="F21" s="110">
        <v>1156</v>
      </c>
      <c r="G21" s="142">
        <f t="shared" si="1"/>
        <v>8667</v>
      </c>
      <c r="H21" s="155">
        <f t="shared" si="2"/>
        <v>1017</v>
      </c>
      <c r="I21" s="110">
        <v>0</v>
      </c>
      <c r="J21" s="142">
        <f t="shared" si="3"/>
        <v>0</v>
      </c>
      <c r="K21" s="110">
        <v>969</v>
      </c>
      <c r="L21" s="110">
        <v>1017</v>
      </c>
      <c r="M21" s="156">
        <f t="shared" si="4"/>
        <v>1986</v>
      </c>
      <c r="N21" s="157">
        <f t="shared" si="5"/>
        <v>5.8999999999999997E-2</v>
      </c>
      <c r="O21" s="17"/>
    </row>
    <row r="22" spans="1:15">
      <c r="A22" s="140" t="s">
        <v>15</v>
      </c>
      <c r="B22" s="110">
        <v>17933</v>
      </c>
      <c r="C22" s="204">
        <v>190</v>
      </c>
      <c r="D22" s="204">
        <f>'mk drift'!D22</f>
        <v>596</v>
      </c>
      <c r="E22" s="142">
        <f t="shared" si="0"/>
        <v>17527</v>
      </c>
      <c r="F22" s="110">
        <v>696</v>
      </c>
      <c r="G22" s="142">
        <f t="shared" si="1"/>
        <v>8117</v>
      </c>
      <c r="H22" s="155">
        <f t="shared" si="2"/>
        <v>4178</v>
      </c>
      <c r="I22" s="110">
        <v>0</v>
      </c>
      <c r="J22" s="142">
        <f t="shared" si="3"/>
        <v>0</v>
      </c>
      <c r="K22" s="110">
        <v>4536</v>
      </c>
      <c r="L22" s="110">
        <v>4178</v>
      </c>
      <c r="M22" s="156">
        <f t="shared" si="4"/>
        <v>8714</v>
      </c>
      <c r="N22" s="157">
        <f t="shared" si="5"/>
        <v>0.25700000000000001</v>
      </c>
      <c r="O22" s="17"/>
    </row>
    <row r="23" spans="1:15">
      <c r="A23" s="140" t="s">
        <v>16</v>
      </c>
      <c r="B23" s="110">
        <v>18620</v>
      </c>
      <c r="C23" s="204">
        <v>568</v>
      </c>
      <c r="D23" s="204">
        <f>'mk drift'!D23</f>
        <v>866</v>
      </c>
      <c r="E23" s="142">
        <f t="shared" si="0"/>
        <v>18322</v>
      </c>
      <c r="F23" s="110">
        <v>311</v>
      </c>
      <c r="G23" s="142">
        <f t="shared" si="1"/>
        <v>8872</v>
      </c>
      <c r="H23" s="155">
        <f t="shared" si="2"/>
        <v>4348</v>
      </c>
      <c r="I23" s="110">
        <v>0</v>
      </c>
      <c r="J23" s="142">
        <f t="shared" si="3"/>
        <v>0</v>
      </c>
      <c r="K23" s="110">
        <v>4791</v>
      </c>
      <c r="L23" s="110">
        <v>4348</v>
      </c>
      <c r="M23" s="156">
        <f t="shared" si="4"/>
        <v>9139</v>
      </c>
      <c r="N23" s="157">
        <f t="shared" si="5"/>
        <v>0.26900000000000002</v>
      </c>
      <c r="O23" s="17"/>
    </row>
    <row r="24" spans="1:15">
      <c r="A24" s="140" t="s">
        <v>17</v>
      </c>
      <c r="B24" s="110">
        <v>3837</v>
      </c>
      <c r="C24" s="204">
        <v>169</v>
      </c>
      <c r="D24" s="204">
        <f>'mk drift'!D24</f>
        <v>249</v>
      </c>
      <c r="E24" s="142">
        <f t="shared" si="0"/>
        <v>3757</v>
      </c>
      <c r="F24" s="110">
        <v>139</v>
      </c>
      <c r="G24" s="142">
        <f t="shared" si="1"/>
        <v>1041</v>
      </c>
      <c r="H24" s="155">
        <f t="shared" si="2"/>
        <v>1248</v>
      </c>
      <c r="I24" s="110">
        <v>0</v>
      </c>
      <c r="J24" s="142">
        <f t="shared" si="3"/>
        <v>0</v>
      </c>
      <c r="K24" s="110">
        <v>1329</v>
      </c>
      <c r="L24" s="110">
        <v>1248</v>
      </c>
      <c r="M24" s="156">
        <f t="shared" si="4"/>
        <v>2577</v>
      </c>
      <c r="N24" s="157">
        <f t="shared" si="5"/>
        <v>7.5999999999999998E-2</v>
      </c>
      <c r="O24" s="17"/>
    </row>
    <row r="25" spans="1:15">
      <c r="A25" s="140" t="s">
        <v>18</v>
      </c>
      <c r="B25" s="110">
        <v>0</v>
      </c>
      <c r="C25" s="204">
        <v>0</v>
      </c>
      <c r="D25" s="204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204">
        <v>0</v>
      </c>
      <c r="D26" s="204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204">
        <v>0</v>
      </c>
      <c r="D27" s="204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58726</v>
      </c>
      <c r="C28" s="207">
        <f>SUM(C16:C27)</f>
        <v>1030</v>
      </c>
      <c r="D28" s="207">
        <f>SUM(D16:D27)</f>
        <v>1817</v>
      </c>
      <c r="E28" s="158">
        <f>SUM(E16:E27)</f>
        <v>57939</v>
      </c>
      <c r="F28" s="158">
        <f>SUM(F16:F27)</f>
        <v>2588</v>
      </c>
      <c r="G28" s="158">
        <f t="shared" si="1"/>
        <v>32868</v>
      </c>
      <c r="H28" s="158">
        <f>SUM(H16:H27)</f>
        <v>10820</v>
      </c>
      <c r="I28" s="158">
        <f>SUM(I16:I27)</f>
        <v>0</v>
      </c>
      <c r="J28" s="158">
        <f t="shared" si="3"/>
        <v>0</v>
      </c>
      <c r="K28" s="158">
        <f>SUM(K16:K27)</f>
        <v>11663</v>
      </c>
      <c r="L28" s="158">
        <f>SUM(L16:L27)</f>
        <v>10820</v>
      </c>
      <c r="M28" s="159">
        <f>SUM(M16:M27)</f>
        <v>22483</v>
      </c>
      <c r="N28" s="160">
        <f t="shared" si="5"/>
        <v>0.66300000000000003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1.71</v>
      </c>
      <c r="F29" s="161">
        <f t="shared" si="6"/>
        <v>0.08</v>
      </c>
      <c r="G29" s="161">
        <f t="shared" si="6"/>
        <v>0.97</v>
      </c>
      <c r="H29" s="161">
        <f t="shared" si="6"/>
        <v>0.32</v>
      </c>
      <c r="I29" s="161">
        <f t="shared" si="6"/>
        <v>0</v>
      </c>
      <c r="J29" s="161">
        <f t="shared" si="6"/>
        <v>0</v>
      </c>
      <c r="K29" s="161">
        <f t="shared" si="6"/>
        <v>0.34</v>
      </c>
      <c r="L29" s="161">
        <f t="shared" si="6"/>
        <v>0.32</v>
      </c>
      <c r="M29" s="162">
        <f t="shared" si="6"/>
        <v>0.66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4.4667667719498096</v>
      </c>
      <c r="G30" s="145">
        <f t="shared" si="7"/>
        <v>56.728628385025623</v>
      </c>
      <c r="H30" s="145">
        <f t="shared" si="7"/>
        <v>18.674813165570686</v>
      </c>
      <c r="I30" s="145">
        <f t="shared" si="7"/>
        <v>0</v>
      </c>
      <c r="J30" s="145">
        <f t="shared" si="7"/>
        <v>0</v>
      </c>
      <c r="K30" s="145">
        <f t="shared" si="7"/>
        <v>20.129791677453873</v>
      </c>
      <c r="L30" s="145">
        <f t="shared" si="7"/>
        <v>18.674813165570686</v>
      </c>
      <c r="M30" s="165">
        <f t="shared" si="7"/>
        <v>38.804604843024556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40"/>
  <sheetViews>
    <sheetView showOutlineSymbols="0" zoomScale="87" zoomScaleNormal="87" workbookViewId="0">
      <selection activeCell="C40" sqref="C40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114</v>
      </c>
      <c r="C8" s="2"/>
      <c r="D8" s="2"/>
      <c r="E8" s="2"/>
      <c r="F8" s="2"/>
      <c r="G8" s="8" t="s">
        <v>56</v>
      </c>
      <c r="H8" s="2"/>
      <c r="I8" s="2" t="s">
        <v>91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9">
        <v>11079</v>
      </c>
      <c r="L9" s="11"/>
      <c r="M9" s="10" t="s">
        <v>77</v>
      </c>
      <c r="N9" s="120">
        <v>2020</v>
      </c>
    </row>
    <row r="10" spans="1:15" ht="18">
      <c r="A10" s="10" t="s">
        <v>6</v>
      </c>
      <c r="B10" s="11" t="s">
        <v>115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93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110">
        <v>0</v>
      </c>
      <c r="C20" s="141">
        <v>0</v>
      </c>
      <c r="D20" s="141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110">
        <v>4472</v>
      </c>
      <c r="C21" s="141">
        <v>0</v>
      </c>
      <c r="D21" s="141">
        <v>0</v>
      </c>
      <c r="E21" s="142">
        <f t="shared" si="0"/>
        <v>4472</v>
      </c>
      <c r="F21" s="110">
        <v>945</v>
      </c>
      <c r="G21" s="142">
        <f t="shared" si="1"/>
        <v>2963</v>
      </c>
      <c r="H21" s="110">
        <v>0</v>
      </c>
      <c r="I21" s="110">
        <v>0</v>
      </c>
      <c r="J21" s="142">
        <f t="shared" si="2"/>
        <v>0</v>
      </c>
      <c r="K21" s="110">
        <v>564</v>
      </c>
      <c r="L21" s="110">
        <v>0</v>
      </c>
      <c r="M21" s="142">
        <f t="shared" si="3"/>
        <v>564</v>
      </c>
      <c r="N21" s="140">
        <f t="shared" si="4"/>
        <v>5.0999999999999997E-2</v>
      </c>
      <c r="O21" s="17"/>
    </row>
    <row r="22" spans="1:15">
      <c r="A22" s="140" t="s">
        <v>15</v>
      </c>
      <c r="B22" s="110">
        <v>6448</v>
      </c>
      <c r="C22" s="141">
        <v>0</v>
      </c>
      <c r="D22" s="141">
        <v>0</v>
      </c>
      <c r="E22" s="142">
        <f t="shared" si="0"/>
        <v>6448</v>
      </c>
      <c r="F22" s="110">
        <v>916</v>
      </c>
      <c r="G22" s="142">
        <f t="shared" si="1"/>
        <v>4296.8</v>
      </c>
      <c r="H22" s="110">
        <v>0</v>
      </c>
      <c r="I22" s="110">
        <v>0</v>
      </c>
      <c r="J22" s="142">
        <f t="shared" si="2"/>
        <v>0</v>
      </c>
      <c r="K22" s="110">
        <v>1235.2</v>
      </c>
      <c r="L22" s="110">
        <v>0</v>
      </c>
      <c r="M22" s="142">
        <f t="shared" si="3"/>
        <v>1235.2</v>
      </c>
      <c r="N22" s="140">
        <f t="shared" si="4"/>
        <v>0.111</v>
      </c>
      <c r="O22" s="17"/>
    </row>
    <row r="23" spans="1:15">
      <c r="A23" s="140" t="s">
        <v>16</v>
      </c>
      <c r="B23" s="110">
        <v>9042</v>
      </c>
      <c r="C23" s="141">
        <v>0</v>
      </c>
      <c r="D23" s="141">
        <v>0</v>
      </c>
      <c r="E23" s="142">
        <f t="shared" si="0"/>
        <v>9042</v>
      </c>
      <c r="F23" s="110">
        <v>964</v>
      </c>
      <c r="G23" s="142">
        <f t="shared" si="1"/>
        <v>5191</v>
      </c>
      <c r="H23" s="110">
        <v>0</v>
      </c>
      <c r="I23" s="110">
        <v>0</v>
      </c>
      <c r="J23" s="142">
        <f t="shared" si="2"/>
        <v>0</v>
      </c>
      <c r="K23" s="110">
        <v>2887</v>
      </c>
      <c r="L23" s="110">
        <v>0</v>
      </c>
      <c r="M23" s="142">
        <f t="shared" si="3"/>
        <v>2887</v>
      </c>
      <c r="N23" s="140">
        <f t="shared" si="4"/>
        <v>0.26100000000000001</v>
      </c>
      <c r="O23" s="17"/>
    </row>
    <row r="24" spans="1:15">
      <c r="A24" s="140" t="s">
        <v>17</v>
      </c>
      <c r="B24" s="110">
        <v>2091</v>
      </c>
      <c r="C24" s="141">
        <v>0</v>
      </c>
      <c r="D24" s="141">
        <v>0</v>
      </c>
      <c r="E24" s="142">
        <f t="shared" si="0"/>
        <v>2091</v>
      </c>
      <c r="F24" s="110">
        <v>386</v>
      </c>
      <c r="G24" s="142">
        <f t="shared" si="1"/>
        <v>621</v>
      </c>
      <c r="H24" s="110">
        <v>0</v>
      </c>
      <c r="I24" s="110">
        <v>0</v>
      </c>
      <c r="J24" s="142">
        <f t="shared" si="2"/>
        <v>0</v>
      </c>
      <c r="K24" s="110">
        <v>1084</v>
      </c>
      <c r="L24" s="110">
        <v>0</v>
      </c>
      <c r="M24" s="142">
        <f t="shared" si="3"/>
        <v>1084</v>
      </c>
      <c r="N24" s="140">
        <f t="shared" si="4"/>
        <v>9.8000000000000004E-2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73" t="s">
        <v>21</v>
      </c>
      <c r="B28" s="158">
        <f>SUM(B16:B27)</f>
        <v>22053</v>
      </c>
      <c r="C28" s="158">
        <f>SUM(C16:C27)</f>
        <v>0</v>
      </c>
      <c r="D28" s="158">
        <f>SUM(D16:D27)</f>
        <v>0</v>
      </c>
      <c r="E28" s="158">
        <f>SUM(E16:E27)</f>
        <v>22053</v>
      </c>
      <c r="F28" s="158">
        <f>SUM(F16:F27)</f>
        <v>3211</v>
      </c>
      <c r="G28" s="158">
        <f t="shared" si="1"/>
        <v>13071.8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5770.2</v>
      </c>
      <c r="L28" s="158">
        <f>SUM(L16:L27)</f>
        <v>0</v>
      </c>
      <c r="M28" s="158">
        <f>SUM(M16:M27)</f>
        <v>5770.2</v>
      </c>
      <c r="N28" s="143">
        <f t="shared" si="4"/>
        <v>0.52100000000000002</v>
      </c>
      <c r="O28" s="17"/>
    </row>
    <row r="29" spans="1:15" ht="15.75" thickTop="1">
      <c r="A29" s="139" t="s">
        <v>22</v>
      </c>
      <c r="B29" s="139"/>
      <c r="C29" s="139"/>
      <c r="D29" s="139"/>
      <c r="E29" s="161">
        <f t="shared" ref="E29:M29" si="5">ROUND(+E28/$K$9,2)</f>
        <v>1.99</v>
      </c>
      <c r="F29" s="161">
        <f t="shared" si="5"/>
        <v>0.28999999999999998</v>
      </c>
      <c r="G29" s="161">
        <f t="shared" si="5"/>
        <v>1.18</v>
      </c>
      <c r="H29" s="161">
        <f t="shared" si="5"/>
        <v>0</v>
      </c>
      <c r="I29" s="161">
        <f t="shared" si="5"/>
        <v>0</v>
      </c>
      <c r="J29" s="161">
        <f t="shared" si="5"/>
        <v>0</v>
      </c>
      <c r="K29" s="161">
        <f t="shared" si="5"/>
        <v>0.52</v>
      </c>
      <c r="L29" s="161">
        <f t="shared" si="5"/>
        <v>0</v>
      </c>
      <c r="M29" s="161">
        <f t="shared" si="5"/>
        <v>0.52</v>
      </c>
      <c r="N29" s="139"/>
      <c r="O29" s="17"/>
    </row>
    <row r="30" spans="1:15" ht="15.75" thickBot="1">
      <c r="A30" s="140" t="s">
        <v>23</v>
      </c>
      <c r="B30" s="140"/>
      <c r="C30" s="140"/>
      <c r="D30" s="140"/>
      <c r="E30" s="145">
        <f t="shared" ref="E30:M30" si="6">ROUND(+E28/$E$28*100,1)</f>
        <v>100</v>
      </c>
      <c r="F30" s="145">
        <f t="shared" si="6"/>
        <v>14.6</v>
      </c>
      <c r="G30" s="145">
        <f t="shared" si="6"/>
        <v>59.3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26.2</v>
      </c>
      <c r="L30" s="145">
        <f t="shared" si="6"/>
        <v>0</v>
      </c>
      <c r="M30" s="145">
        <f t="shared" si="6"/>
        <v>26.2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40" spans="1:15" ht="25.5">
      <c r="B40" s="194"/>
      <c r="C40" s="197"/>
      <c r="D40" s="197"/>
      <c r="E40" s="197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c 2 1 f d a 0 - d e c 5 - 4 5 b 3 - 9 c b 2 - 4 7 1 1 1 9 5 0 d f d a "   x m l n s = " h t t p : / / s c h e m a s . m i c r o s o f t . c o m / D a t a M a s h u p " > A A A A A L o E A A B Q S w M E F A A C A A g A i m F a U i o e J 9 O j A A A A 9 Q A A A B I A H A B D b 2 5 m a W c v U G F j a 2 F n Z S 5 4 b W w g o h g A K K A U A A A A A A A A A A A A A A A A A A A A A A A A A A A A h Y + x D o I w G I R f h X S n L e h A y E 8 Z X C U x I R r X p l R s h B 9 D i + X d H H w k X 0 G M o m 6 O d 9 9 d c n e / 3 i A f 2 y a 4 6 N 6 a D j M S U U 4 C j a q r D N Y Z G d w h T E g u Y C P V S d Y 6 m M J o 0 9 G a j B y d O 6 e M e e + p X 9 C u r 1 n M e c T 2 x b p U R 9 3 K 0 K B 1 E p U m n 1 b 1 v 0 U E 7 F 5 j R E y T J U 3 4 N A n Y 7 E F h 8 M v j i T 3 p j w m r o X F D r 4 X G c F s C m y W w 9 w X x A F B L A w Q U A A I A C A C K Y V p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m F a U n p K K S i 1 A Q A A C Q U A A B M A H A B G b 3 J t d W x h c y 9 T Z W N 0 a W 9 u M S 5 t I K I Y A C i g F A A A A A A A A A A A A A A A A A A A A A A A A A A A A O 2 T U U / b M B S F 3 y v 1 P 1 j m p Z W i K M n G Y E J 9 g D A m N I 2 h F t S H G l V u c m k N z n V k O 1 A U 9 b / j N K V 0 W 4 I Q z 0 S R E n 2 + P j c 3 5 9 h A Y o V C M q q f 4 V G 3 0 + 2 Y B d e Q k i s + k x C S A Z F g u x 3 i r p E q d A K O / F g m I P 2 4 0 B r Q j p W + n y l 1 3 + u X k w u e w Y D W O + n N a h I r t K 7 k x q s F 9 m i 8 4 D i v x J 9 y o E 5 p X e p f a Y 7 m V u k s V r L I s F o 0 v b q b V 5 Z 0 O I y P y S l I 8 Q B a g C E c U / f F k P M 5 U I 9 Y V 0 0 s L O 3 K I y W t F c I W H r 1 w j k 8 7 + E s z / t q M 9 5 v x t 2 Z 8 0 I w P m / H 3 Z h w G L T x s 4 X 8 N u u p 3 O w I b L d g 1 n A s 0 j 0 r b x R u e b 8 0 + E 8 6 3 j b 2 m R x k z F l P U y E 0 Q + s Y q B N / d c / X A 1 u p s z C 3 o S 8 k R B c 7 Z E P J i J k X C k V 1 q d e f S Z 1 j l 8 j F i w e V 1 n r p q F g V R w K q G b s e Z k i l o w 0 6 m P 8 e / V Q r y H P P C b Y q m o 7 F T S M C Y S v f k z 5 B l j 2 k U u J d N Q l x Y X q P j L 6 V Z 0 r 5 H s J D S / S F d Q H + T z e 3 0 0 9 E C w L q J 6 9 H L y b m F b E C 3 6 9 T 7 J T A d 0 H V Z F f J T b v m H E v 5 P y y r q n / H 9 P 7 4 7 v G X S s G X U c P + 9 x + A Z U E s B A i 0 A F A A C A A g A i m F a U i o e J 9 O j A A A A 9 Q A A A B I A A A A A A A A A A A A A A A A A A A A A A E N v b m Z p Z y 9 Q Y W N r Y W d l L n h t b F B L A Q I t A B Q A A g A I A I p h W l I P y u m r p A A A A O k A A A A T A A A A A A A A A A A A A A A A A O 8 A A A B b Q 2 9 u d G V u d F 9 U e X B l c 1 0 u e G 1 s U E s B A i 0 A F A A C A A g A i m F a U n p K K S i 1 A Q A A C Q U A A B M A A A A A A A A A A A A A A A A A 4 A E A A E Z v c m 1 1 b G F z L 1 N l Y 3 R p b 2 4 x L m 1 Q S w U G A A A A A A M A A w D C A A A A 4 g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3 x w A A A A A A A C 9 H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b G U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E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E v Q 2 h h b m d l Z C B U e X B l L n t S U k N B I E R l b G l 2 Z X J p Z X M g Y W 5 k I F N l Z X B h Z 2 U s M H 0 m c X V v d D s s J n F 1 b 3 Q 7 U 2 V j d G l v b j E v V G F i b G U x L 0 N o Y W 5 n Z W Q g V H l w Z S 5 7 Q 2 9 s d W 1 u M S w x f S Z x d W 9 0 O y w m c X V v d D t T Z W N 0 a W 9 u M S 9 U Y W J s Z T E v Q 2 h h b m d l Z C B U e X B l L n t D b 2 x 1 b W 4 y L D J 9 J n F 1 b 3 Q 7 L C Z x d W 9 0 O 1 N l Y 3 R p b 2 4 x L 1 R h Y m x l M S 9 D a G F u Z 2 V k I F R 5 c G U u e 0 N v b H V t b j M s M 3 0 m c X V v d D s s J n F 1 b 3 Q 7 U 2 V j d G l v b j E v V G F i b G U x L 0 N o Y W 5 n Z W Q g V H l w Z S 5 7 Q 2 9 s d W 1 u N C w 0 f S Z x d W 9 0 O y w m c X V v d D t T Z W N 0 a W 9 u M S 9 U Y W J s Z T E v Q 2 h h b m d l Z C B U e X B l L n t D b 2 x 1 b W 4 1 L D V 9 J n F 1 b 3 Q 7 L C Z x d W 9 0 O 1 N l Y 3 R p b 2 4 x L 1 R h Y m x l M S 9 D a G F u Z 2 V k I F R 5 c G U u e 0 N v b H V t b j Y s N n 0 m c X V v d D s s J n F 1 b 3 Q 7 U 2 V j d G l v b j E v V G F i b G U x L 0 N o Y W 5 n Z W Q g V H l w Z S 5 7 Q 2 9 s d W 1 u N y w 3 f S Z x d W 9 0 O y w m c X V v d D t T Z W N 0 a W 9 u M S 9 U Y W J s Z T E v Q 2 h h b m d l Z C B U e X B l L n t D b 2 x 1 b W 4 4 L D h 9 J n F 1 b 3 Q 7 L C Z x d W 9 0 O 1 N l Y 3 R p b 2 4 x L 1 R h Y m x l M S 9 D a G F u Z 2 V k I F R 5 c G U u e 0 N v b H V t b j k s O X 0 m c X V v d D s s J n F 1 b 3 Q 7 U 2 V j d G l v b j E v V G F i b G U x L 0 N o Y W 5 n Z W Q g V H l w Z S 5 7 Q 2 9 s d W 1 u M T A s M T B 9 J n F 1 b 3 Q 7 L C Z x d W 9 0 O 1 N l Y 3 R p b 2 4 x L 1 R h Y m x l M S 9 D a G F u Z 2 V k I F R 5 c G U u e 0 N v b H V t b j E x L D E x f S Z x d W 9 0 O y w m c X V v d D t T Z W N 0 a W 9 u M S 9 U Y W J s Z T E v Q 2 h h b m d l Z C B U e X B l L n t D b 2 x 1 b W 4 x M i w x M n 0 m c X V v d D t d L C Z x d W 9 0 O 0 N v b H V t b k N v d W 5 0 J n F 1 b 3 Q 7 O j E z L C Z x d W 9 0 O 0 t l e U N v b H V t b k 5 h b W V z J n F 1 b 3 Q 7 O l t d L C Z x d W 9 0 O 0 N v b H V t b k l k Z W 5 0 a X R p Z X M m c X V v d D s 6 W y Z x d W 9 0 O 1 N l Y 3 R p b 2 4 x L 1 R h Y m x l M S 9 D a G F u Z 2 V k I F R 5 c G U u e 1 J S Q 0 E g R G V s a X Z l c m l l c y B h b m Q g U 2 V l c G F n Z S w w f S Z x d W 9 0 O y w m c X V v d D t T Z W N 0 a W 9 u M S 9 U Y W J s Z T E v Q 2 h h b m d l Z C B U e X B l L n t D b 2 x 1 b W 4 x L D F 9 J n F 1 b 3 Q 7 L C Z x d W 9 0 O 1 N l Y 3 R p b 2 4 x L 1 R h Y m x l M S 9 D a G F u Z 2 V k I F R 5 c G U u e 0 N v b H V t b j I s M n 0 m c X V v d D s s J n F 1 b 3 Q 7 U 2 V j d G l v b j E v V G F i b G U x L 0 N o Y W 5 n Z W Q g V H l w Z S 5 7 Q 2 9 s d W 1 u M y w z f S Z x d W 9 0 O y w m c X V v d D t T Z W N 0 a W 9 u M S 9 U Y W J s Z T E v Q 2 h h b m d l Z C B U e X B l L n t D b 2 x 1 b W 4 0 L D R 9 J n F 1 b 3 Q 7 L C Z x d W 9 0 O 1 N l Y 3 R p b 2 4 x L 1 R h Y m x l M S 9 D a G F u Z 2 V k I F R 5 c G U u e 0 N v b H V t b j U s N X 0 m c X V v d D s s J n F 1 b 3 Q 7 U 2 V j d G l v b j E v V G F i b G U x L 0 N o Y W 5 n Z W Q g V H l w Z S 5 7 Q 2 9 s d W 1 u N i w 2 f S Z x d W 9 0 O y w m c X V v d D t T Z W N 0 a W 9 u M S 9 U Y W J s Z T E v Q 2 h h b m d l Z C B U e X B l L n t D b 2 x 1 b W 4 3 L D d 9 J n F 1 b 3 Q 7 L C Z x d W 9 0 O 1 N l Y 3 R p b 2 4 x L 1 R h Y m x l M S 9 D a G F u Z 2 V k I F R 5 c G U u e 0 N v b H V t b j g s O H 0 m c X V v d D s s J n F 1 b 3 Q 7 U 2 V j d G l v b j E v V G F i b G U x L 0 N o Y W 5 n Z W Q g V H l w Z S 5 7 Q 2 9 s d W 1 u O S w 5 f S Z x d W 9 0 O y w m c X V v d D t T Z W N 0 a W 9 u M S 9 U Y W J s Z T E v Q 2 h h b m d l Z C B U e X B l L n t D b 2 x 1 b W 4 x M C w x M H 0 m c X V v d D s s J n F 1 b 3 Q 7 U 2 V j d G l v b j E v V G F i b G U x L 0 N o Y W 5 n Z W Q g V H l w Z S 5 7 Q 2 9 s d W 1 u M T E s M T F 9 J n F 1 b 3 Q 7 L C Z x d W 9 0 O 1 N l Y 3 R p b 2 4 x L 1 R h Y m x l M S 9 D a G F u Z 2 V k I F R 5 c G U u e 0 N v b H V t b j E y L D E y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U l J D Q S B E Z W x p d m V y a W V z I G F u Z C B T Z W V w Y W d l J n F 1 b 3 Q 7 L C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X S I g L z 4 8 R W 5 0 c n k g V H l w Z T 0 i R m l s b E N v b H V t b l R 5 c G V z I i B W Y W x 1 Z T 0 i c 0 J n W U F B Q U F B Q U F B Q U F B Q U F B Q T 0 9 I i A v P j x F b n R y e S B U e X B l P S J G a W x s T G F z d F V w Z G F 0 Z W Q i I F Z h b H V l P S J k M j A y M S 0 w M i 0 y N l Q x N z o w M D o z N S 4 4 N j c y N z M 0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U i I C 8 + P E V u d H J 5 I F R 5 c G U 9 I k F k Z G V k V G 9 E Y X R h T W 9 k Z W w i I F Z h b H V l P S J s M C I g L z 4 8 R W 5 0 c n k g V H l w Z T 0 i U X V l c n l J R C I g V m F s d W U 9 I n M z M T g 0 M T A 3 Z C 0 w N m Z h L T R m O T E t Y T U 0 N C 0 z Y j M x N j M 3 M W F j Z T k i I C 8 + P C 9 T d G F i b G V F b n R y a W V z P j w v S X R l b T 4 8 S X R l b T 4 8 S X R l b U x v Y 2 F 0 a W 9 u P j x J d G V t V H l w Z T 5 G b 3 J t d W x h P C 9 J d G V t V H l w Z T 4 8 S X R l b V B h d G g + U 2 V j d G l v b j E v V G F i b G U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F p b n N 3 b 3 J 0 a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i 0 y N l Q x N j o 1 N T o y N y 4 y O D Q 1 M T Y 5 W i I g L z 4 8 R W 5 0 c n k g V H l w Z T 0 i R m l s b E N v b H V t b l R 5 c G V z I i B W Y W x 1 Z T 0 i c 0 J n Q U F B Q U F B Q U F B Q U F B Q U F B Q U F B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F p b n N 3 b 3 J 0 a C 9 D a G F u Z 2 V k I F R 5 c G U u e 0 N v b H V t b j E s M H 0 m c X V v d D s s J n F 1 b 3 Q 7 U 2 V j d G l v b j E v Y W l u c 3 d v c n R o L 0 N o Y W 5 n Z W Q g V H l w Z S 5 7 Q 2 9 s d W 1 u M i w x f S Z x d W 9 0 O y w m c X V v d D t T Z W N 0 a W 9 u M S 9 h a W 5 z d 2 9 y d G g v Q 2 h h b m d l Z C B U e X B l L n t D b 2 x 1 b W 4 z L D J 9 J n F 1 b 3 Q 7 L C Z x d W 9 0 O 1 N l Y 3 R p b 2 4 x L 2 F p b n N 3 b 3 J 0 a C 9 D a G F u Z 2 V k I F R 5 c G U u e 0 N v b H V t b j Q s M 3 0 m c X V v d D s s J n F 1 b 3 Q 7 U 2 V j d G l v b j E v Y W l u c 3 d v c n R o L 0 N o Y W 5 n Z W Q g V H l w Z S 5 7 Q 2 9 s d W 1 u N S w 0 f S Z x d W 9 0 O y w m c X V v d D t T Z W N 0 a W 9 u M S 9 h a W 5 z d 2 9 y d G g v Q 2 h h b m d l Z C B U e X B l L n t D b 2 x 1 b W 4 2 L D V 9 J n F 1 b 3 Q 7 L C Z x d W 9 0 O 1 N l Y 3 R p b 2 4 x L 2 F p b n N 3 b 3 J 0 a C 9 D a G F u Z 2 V k I F R 5 c G U u e 0 N v b H V t b j c s N n 0 m c X V v d D s s J n F 1 b 3 Q 7 U 2 V j d G l v b j E v Y W l u c 3 d v c n R o L 0 N o Y W 5 n Z W Q g V H l w Z S 5 7 Q 2 9 s d W 1 u O C w 3 f S Z x d W 9 0 O y w m c X V v d D t T Z W N 0 a W 9 u M S 9 h a W 5 z d 2 9 y d G g v Q 2 h h b m d l Z C B U e X B l L n t D b 2 x 1 b W 4 5 L D h 9 J n F 1 b 3 Q 7 L C Z x d W 9 0 O 1 N l Y 3 R p b 2 4 x L 2 F p b n N 3 b 3 J 0 a C 9 D a G F u Z 2 V k I F R 5 c G U u e 0 N v b H V t b j E w L D l 9 J n F 1 b 3 Q 7 L C Z x d W 9 0 O 1 N l Y 3 R p b 2 4 x L 2 F p b n N 3 b 3 J 0 a C 9 D a G F u Z 2 V k I F R 5 c G U u e 0 N v b H V t b j E x L D E w f S Z x d W 9 0 O y w m c X V v d D t T Z W N 0 a W 9 u M S 9 h a W 5 z d 2 9 y d G g v Q 2 h h b m d l Z C B U e X B l L n t D b 2 x 1 b W 4 x M i w x M X 0 m c X V v d D s s J n F 1 b 3 Q 7 U 2 V j d G l v b j E v Y W l u c 3 d v c n R o L 0 N o Y W 5 n Z W Q g V H l w Z S 5 7 Q 2 9 s d W 1 u M T M s M T J 9 J n F 1 b 3 Q 7 L C Z x d W 9 0 O 1 N l Y 3 R p b 2 4 x L 2 F p b n N 3 b 3 J 0 a C 9 D a G F u Z 2 V k I F R 5 c G U u e 0 N v b H V t b j E 0 L D E z f S Z x d W 9 0 O y w m c X V v d D t T Z W N 0 a W 9 u M S 9 h a W 5 z d 2 9 y d G g v Q 2 h h b m d l Z C B U e X B l L n t D b 2 x 1 b W 4 x N S w x N H 0 m c X V v d D t d L C Z x d W 9 0 O 0 N v b H V t b k N v d W 5 0 J n F 1 b 3 Q 7 O j E 1 L C Z x d W 9 0 O 0 t l e U N v b H V t b k 5 h b W V z J n F 1 b 3 Q 7 O l t d L C Z x d W 9 0 O 0 N v b H V t b k l k Z W 5 0 a X R p Z X M m c X V v d D s 6 W y Z x d W 9 0 O 1 N l Y 3 R p b 2 4 x L 2 F p b n N 3 b 3 J 0 a C 9 D a G F u Z 2 V k I F R 5 c G U u e 0 N v b H V t b j E s M H 0 m c X V v d D s s J n F 1 b 3 Q 7 U 2 V j d G l v b j E v Y W l u c 3 d v c n R o L 0 N o Y W 5 n Z W Q g V H l w Z S 5 7 Q 2 9 s d W 1 u M i w x f S Z x d W 9 0 O y w m c X V v d D t T Z W N 0 a W 9 u M S 9 h a W 5 z d 2 9 y d G g v Q 2 h h b m d l Z C B U e X B l L n t D b 2 x 1 b W 4 z L D J 9 J n F 1 b 3 Q 7 L C Z x d W 9 0 O 1 N l Y 3 R p b 2 4 x L 2 F p b n N 3 b 3 J 0 a C 9 D a G F u Z 2 V k I F R 5 c G U u e 0 N v b H V t b j Q s M 3 0 m c X V v d D s s J n F 1 b 3 Q 7 U 2 V j d G l v b j E v Y W l u c 3 d v c n R o L 0 N o Y W 5 n Z W Q g V H l w Z S 5 7 Q 2 9 s d W 1 u N S w 0 f S Z x d W 9 0 O y w m c X V v d D t T Z W N 0 a W 9 u M S 9 h a W 5 z d 2 9 y d G g v Q 2 h h b m d l Z C B U e X B l L n t D b 2 x 1 b W 4 2 L D V 9 J n F 1 b 3 Q 7 L C Z x d W 9 0 O 1 N l Y 3 R p b 2 4 x L 2 F p b n N 3 b 3 J 0 a C 9 D a G F u Z 2 V k I F R 5 c G U u e 0 N v b H V t b j c s N n 0 m c X V v d D s s J n F 1 b 3 Q 7 U 2 V j d G l v b j E v Y W l u c 3 d v c n R o L 0 N o Y W 5 n Z W Q g V H l w Z S 5 7 Q 2 9 s d W 1 u O C w 3 f S Z x d W 9 0 O y w m c X V v d D t T Z W N 0 a W 9 u M S 9 h a W 5 z d 2 9 y d G g v Q 2 h h b m d l Z C B U e X B l L n t D b 2 x 1 b W 4 5 L D h 9 J n F 1 b 3 Q 7 L C Z x d W 9 0 O 1 N l Y 3 R p b 2 4 x L 2 F p b n N 3 b 3 J 0 a C 9 D a G F u Z 2 V k I F R 5 c G U u e 0 N v b H V t b j E w L D l 9 J n F 1 b 3 Q 7 L C Z x d W 9 0 O 1 N l Y 3 R p b 2 4 x L 2 F p b n N 3 b 3 J 0 a C 9 D a G F u Z 2 V k I F R 5 c G U u e 0 N v b H V t b j E x L D E w f S Z x d W 9 0 O y w m c X V v d D t T Z W N 0 a W 9 u M S 9 h a W 5 z d 2 9 y d G g v Q 2 h h b m d l Z C B U e X B l L n t D b 2 x 1 b W 4 x M i w x M X 0 m c X V v d D s s J n F 1 b 3 Q 7 U 2 V j d G l v b j E v Y W l u c 3 d v c n R o L 0 N o Y W 5 n Z W Q g V H l w Z S 5 7 Q 2 9 s d W 1 u M T M s M T J 9 J n F 1 b 3 Q 7 L C Z x d W 9 0 O 1 N l Y 3 R p b 2 4 x L 2 F p b n N 3 b 3 J 0 a C 9 D a G F u Z 2 V k I F R 5 c G U u e 0 N v b H V t b j E 0 L D E z f S Z x d W 9 0 O y w m c X V v d D t T Z W N 0 a W 9 u M S 9 h a W 5 z d 2 9 y d G g v Q 2 h h b m d l Z C B U e X B l L n t D b 2 x 1 b W 4 x N S w x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F p b n N 3 b 3 J 0 a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a W 5 z d 2 9 y d G g v Y W l u c 3 d v c n R o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W l u c 3 d v c n R o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B N 7 i B x M I t F I r t Z n P Z s 6 F M c A A A A A A g A A A A A A A 2 Y A A M A A A A A Q A A A A e N d B h K K F L + 3 6 i k c s n 2 X U 4 g A A A A A E g A A A o A A A A B A A A A C o D V c S W X x v g e U q w X X L h R L Y U A A A A A 5 8 f q o e E M g K H N V w B C L J 4 w 8 a g X o q 8 2 r g 8 z 7 g 0 l c w Y 5 j u u I 5 q S o Z U Q p 6 C a x V c 9 Q D Q 0 a S 5 q 5 w l w k s 9 C 6 7 D w z l Z Y i s N L y w Z F B W x k w H B l Q 3 J 3 t 7 R F A A A A K I f v y T B 1 X P 9 I Z v d s L v H p J L O 6 W k a < / D a t a M a s h u p > 
</file>

<file path=customXml/itemProps1.xml><?xml version="1.0" encoding="utf-8"?>
<ds:datastoreItem xmlns:ds="http://schemas.openxmlformats.org/officeDocument/2006/customXml" ds:itemID="{9A01B3B5-7732-4363-A535-9F217948F4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1</vt:i4>
      </vt:variant>
    </vt:vector>
  </HeadingPairs>
  <TitlesOfParts>
    <vt:vector size="29" baseType="lpstr">
      <vt:lpstr>culb</vt:lpstr>
      <vt:lpstr>culb ext 1</vt:lpstr>
      <vt:lpstr>culb ext 2</vt:lpstr>
      <vt:lpstr>mk drift</vt:lpstr>
      <vt:lpstr>bartley</vt:lpstr>
      <vt:lpstr>red wil</vt:lpstr>
      <vt:lpstr>camb</vt:lpstr>
      <vt:lpstr>fr cam sum</vt:lpstr>
      <vt:lpstr>frnklin</vt:lpstr>
      <vt:lpstr>nap</vt:lpstr>
      <vt:lpstr>frnk pmp</vt:lpstr>
      <vt:lpstr>sup</vt:lpstr>
      <vt:lpstr>ne-bost sum</vt:lpstr>
      <vt:lpstr>cout ne</vt:lpstr>
      <vt:lpstr>almena</vt:lpstr>
      <vt:lpstr>kirwin</vt:lpstr>
      <vt:lpstr>osb</vt:lpstr>
      <vt:lpstr>ks abov</vt:lpstr>
      <vt:lpstr>ks below</vt:lpstr>
      <vt:lpstr>ks-bost sum</vt:lpstr>
      <vt:lpstr>gln elder</vt:lpstr>
      <vt:lpstr>mirdan</vt:lpstr>
      <vt:lpstr>Fullerton</vt:lpstr>
      <vt:lpstr>twn lps sum</vt:lpstr>
      <vt:lpstr>ainsworth</vt:lpstr>
      <vt:lpstr>mir flts</vt:lpstr>
      <vt:lpstr>RRCA BOR Worksheet</vt:lpstr>
      <vt:lpstr>RRCA BOR Deliveries and Seepage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dellerton</dc:creator>
  <cp:lastModifiedBy>Davis, Alexa</cp:lastModifiedBy>
  <cp:lastPrinted>2021-01-08T19:25:16Z</cp:lastPrinted>
  <dcterms:created xsi:type="dcterms:W3CDTF">2005-01-04T14:17:57Z</dcterms:created>
  <dcterms:modified xsi:type="dcterms:W3CDTF">2021-03-11T12:56:08Z</dcterms:modified>
</cp:coreProperties>
</file>